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New Postsecondary Board\Strategic_Planning_Committee\"/>
    </mc:Choice>
  </mc:AlternateContent>
  <xr:revisionPtr revIDLastSave="0" documentId="13_ncr:1_{A4A57BB1-CD40-45EB-8769-BA03DCF55B2E}" xr6:coauthVersionLast="45" xr6:coauthVersionMax="45" xr10:uidLastSave="{00000000-0000-0000-0000-000000000000}"/>
  <bookViews>
    <workbookView xWindow="-23148" yWindow="708" windowWidth="23256" windowHeight="12576" xr2:uid="{E347A6D7-8E2A-4B05-A0D9-DBF521802BD1}"/>
  </bookViews>
  <sheets>
    <sheet name="1-Highlights" sheetId="7" r:id="rId1"/>
    <sheet name="2-All Aid" sheetId="1" r:id="rId2"/>
    <sheet name="3-Fiscal Support for HE" sheetId="5" r:id="rId3"/>
    <sheet name="4-Loan Debt" sheetId="3" r:id="rId4"/>
    <sheet name="5-Primary Need Grant" sheetId="4" r:id="rId5"/>
    <sheet name="6-MTAG Value" sheetId="6" r:id="rId6"/>
    <sheet name="7-Redesign Project Model" sheetId="8" r:id="rId7"/>
  </sheets>
  <definedNames>
    <definedName name="_xlnm._FilterDatabase" localSheetId="4" hidden="1">'5-Primary Need Grant'!$A$1:$G$57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8" l="1"/>
  <c r="T14" i="8" s="1"/>
  <c r="D4" i="8"/>
  <c r="E4" i="8"/>
  <c r="F4" i="8"/>
  <c r="G4" i="8"/>
  <c r="H4" i="8"/>
  <c r="I4" i="8"/>
  <c r="J4" i="8"/>
  <c r="K4" i="8"/>
  <c r="L4" i="8"/>
  <c r="M4" i="8"/>
  <c r="N4" i="8"/>
  <c r="O4" i="8"/>
  <c r="P4" i="8"/>
  <c r="Q4" i="8"/>
  <c r="R4" i="8"/>
  <c r="S4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11" i="8"/>
  <c r="T12" i="8"/>
  <c r="T15" i="8"/>
  <c r="T16" i="8"/>
  <c r="T17" i="8"/>
  <c r="C31" i="8"/>
  <c r="T37" i="8" s="1"/>
  <c r="D31" i="8"/>
  <c r="D48" i="8" s="1"/>
  <c r="E31" i="8"/>
  <c r="E48" i="8" s="1"/>
  <c r="F31" i="8"/>
  <c r="G31" i="8"/>
  <c r="G48" i="8" s="1"/>
  <c r="H31" i="8"/>
  <c r="H48" i="8" s="1"/>
  <c r="I31" i="8"/>
  <c r="I48" i="8" s="1"/>
  <c r="J31" i="8"/>
  <c r="K31" i="8"/>
  <c r="K48" i="8" s="1"/>
  <c r="L31" i="8"/>
  <c r="L48" i="8" s="1"/>
  <c r="M31" i="8"/>
  <c r="M48" i="8" s="1"/>
  <c r="N31" i="8"/>
  <c r="O31" i="8"/>
  <c r="O48" i="8" s="1"/>
  <c r="P31" i="8"/>
  <c r="P48" i="8" s="1"/>
  <c r="Q31" i="8"/>
  <c r="Q48" i="8" s="1"/>
  <c r="R31" i="8"/>
  <c r="S31" i="8"/>
  <c r="S48" i="8" s="1"/>
  <c r="C32" i="8"/>
  <c r="T42" i="8" s="1"/>
  <c r="D32" i="8"/>
  <c r="D50" i="8" s="1"/>
  <c r="D53" i="8" s="1"/>
  <c r="E32" i="8"/>
  <c r="F32" i="8"/>
  <c r="F50" i="8" s="1"/>
  <c r="G32" i="8"/>
  <c r="G50" i="8" s="1"/>
  <c r="G53" i="8" s="1"/>
  <c r="H32" i="8"/>
  <c r="H50" i="8" s="1"/>
  <c r="H53" i="8" s="1"/>
  <c r="I32" i="8"/>
  <c r="J32" i="8"/>
  <c r="J50" i="8" s="1"/>
  <c r="K32" i="8"/>
  <c r="K50" i="8" s="1"/>
  <c r="K53" i="8" s="1"/>
  <c r="L32" i="8"/>
  <c r="L50" i="8" s="1"/>
  <c r="L53" i="8" s="1"/>
  <c r="M32" i="8"/>
  <c r="N32" i="8"/>
  <c r="N50" i="8" s="1"/>
  <c r="O32" i="8"/>
  <c r="O50" i="8" s="1"/>
  <c r="O53" i="8" s="1"/>
  <c r="P32" i="8"/>
  <c r="P50" i="8" s="1"/>
  <c r="P53" i="8" s="1"/>
  <c r="Q32" i="8"/>
  <c r="R32" i="8"/>
  <c r="R50" i="8" s="1"/>
  <c r="S32" i="8"/>
  <c r="S50" i="8" s="1"/>
  <c r="S53" i="8" s="1"/>
  <c r="C33" i="8"/>
  <c r="T43" i="8" s="1"/>
  <c r="D33" i="8"/>
  <c r="E33" i="8"/>
  <c r="E51" i="8" s="1"/>
  <c r="F33" i="8"/>
  <c r="F51" i="8" s="1"/>
  <c r="G33" i="8"/>
  <c r="G51" i="8" s="1"/>
  <c r="H33" i="8"/>
  <c r="I33" i="8"/>
  <c r="I51" i="8" s="1"/>
  <c r="J33" i="8"/>
  <c r="J51" i="8" s="1"/>
  <c r="K33" i="8"/>
  <c r="K51" i="8" s="1"/>
  <c r="L33" i="8"/>
  <c r="M33" i="8"/>
  <c r="M51" i="8" s="1"/>
  <c r="N33" i="8"/>
  <c r="N51" i="8" s="1"/>
  <c r="O33" i="8"/>
  <c r="O51" i="8" s="1"/>
  <c r="P33" i="8"/>
  <c r="Q33" i="8"/>
  <c r="Q51" i="8" s="1"/>
  <c r="R33" i="8"/>
  <c r="R51" i="8" s="1"/>
  <c r="S33" i="8"/>
  <c r="S51" i="8" s="1"/>
  <c r="T41" i="8"/>
  <c r="T44" i="8"/>
  <c r="F48" i="8"/>
  <c r="J48" i="8"/>
  <c r="N48" i="8"/>
  <c r="R48" i="8"/>
  <c r="E50" i="8"/>
  <c r="E53" i="8" s="1"/>
  <c r="I50" i="8"/>
  <c r="M50" i="8"/>
  <c r="Q50" i="8"/>
  <c r="Q53" i="8" s="1"/>
  <c r="D51" i="8"/>
  <c r="H51" i="8"/>
  <c r="L51" i="8"/>
  <c r="P51" i="8"/>
  <c r="C52" i="8"/>
  <c r="D52" i="8"/>
  <c r="E52" i="8"/>
  <c r="F52" i="8"/>
  <c r="G52" i="8"/>
  <c r="H52" i="8"/>
  <c r="I52" i="8"/>
  <c r="J52" i="8"/>
  <c r="K52" i="8"/>
  <c r="L52" i="8"/>
  <c r="M52" i="8"/>
  <c r="N52" i="8"/>
  <c r="O52" i="8"/>
  <c r="P52" i="8"/>
  <c r="Q52" i="8"/>
  <c r="R52" i="8"/>
  <c r="S52" i="8"/>
  <c r="B58" i="8"/>
  <c r="B59" i="8"/>
  <c r="B60" i="8" s="1"/>
  <c r="K60" i="8"/>
  <c r="M60" i="8"/>
  <c r="D57" i="3"/>
  <c r="C57" i="3"/>
  <c r="B57" i="3"/>
  <c r="D18" i="3"/>
  <c r="C18" i="3"/>
  <c r="B18" i="3"/>
  <c r="O57" i="7"/>
  <c r="AL18" i="7"/>
  <c r="Q18" i="7" s="1"/>
  <c r="O18" i="7"/>
  <c r="P3" i="7"/>
  <c r="P4" i="7"/>
  <c r="P5" i="7"/>
  <c r="P6" i="7"/>
  <c r="P7" i="7"/>
  <c r="P8" i="7"/>
  <c r="P9" i="7"/>
  <c r="P10" i="7"/>
  <c r="P11" i="7"/>
  <c r="P12" i="7"/>
  <c r="P13" i="7"/>
  <c r="P14" i="7"/>
  <c r="P15" i="7"/>
  <c r="P16" i="7"/>
  <c r="P17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2" i="7"/>
  <c r="M26" i="6"/>
  <c r="L26" i="6"/>
  <c r="K26" i="6"/>
  <c r="I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" i="6"/>
  <c r="E2" i="6"/>
  <c r="G26" i="6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C26" i="6"/>
  <c r="R53" i="8" l="1"/>
  <c r="N53" i="8"/>
  <c r="J53" i="8"/>
  <c r="F53" i="8"/>
  <c r="M53" i="8"/>
  <c r="I53" i="8"/>
  <c r="T10" i="8"/>
  <c r="T18" i="8" s="1"/>
  <c r="D58" i="8" s="1"/>
  <c r="C51" i="8"/>
  <c r="T39" i="8"/>
  <c r="C50" i="8"/>
  <c r="C53" i="8" s="1"/>
  <c r="T38" i="8"/>
  <c r="T45" i="8" s="1"/>
  <c r="D59" i="8" s="1"/>
  <c r="C48" i="8"/>
  <c r="AL57" i="7"/>
  <c r="P18" i="7"/>
  <c r="C19" i="7"/>
  <c r="C20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21" i="7"/>
  <c r="L3" i="7"/>
  <c r="L4" i="7"/>
  <c r="L5" i="7"/>
  <c r="L6" i="7"/>
  <c r="L7" i="7"/>
  <c r="L8" i="7"/>
  <c r="L9" i="7"/>
  <c r="L10" i="7"/>
  <c r="L11" i="7"/>
  <c r="L12" i="7"/>
  <c r="L14" i="7"/>
  <c r="L15" i="7"/>
  <c r="L16" i="7"/>
  <c r="L17" i="7"/>
  <c r="L2" i="7"/>
  <c r="K3" i="7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2" i="7"/>
  <c r="AI58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2" i="7"/>
  <c r="D3" i="7"/>
  <c r="C3" i="7" s="1"/>
  <c r="D4" i="7"/>
  <c r="C4" i="7" s="1"/>
  <c r="D5" i="7"/>
  <c r="C5" i="7" s="1"/>
  <c r="D6" i="7"/>
  <c r="C6" i="7" s="1"/>
  <c r="D7" i="7"/>
  <c r="C7" i="7" s="1"/>
  <c r="D8" i="7"/>
  <c r="C8" i="7" s="1"/>
  <c r="D9" i="7"/>
  <c r="C9" i="7" s="1"/>
  <c r="D10" i="7"/>
  <c r="C10" i="7" s="1"/>
  <c r="X20" i="7" s="1"/>
  <c r="D11" i="7"/>
  <c r="C11" i="7" s="1"/>
  <c r="D12" i="7"/>
  <c r="C12" i="7" s="1"/>
  <c r="D14" i="7"/>
  <c r="C14" i="7" s="1"/>
  <c r="D15" i="7"/>
  <c r="C15" i="7" s="1"/>
  <c r="D16" i="7"/>
  <c r="C16" i="7" s="1"/>
  <c r="D17" i="7"/>
  <c r="C17" i="7" s="1"/>
  <c r="D21" i="7"/>
  <c r="C21" i="7" s="1"/>
  <c r="D22" i="7"/>
  <c r="C22" i="7" s="1"/>
  <c r="D23" i="7"/>
  <c r="C23" i="7" s="1"/>
  <c r="D24" i="7"/>
  <c r="C24" i="7" s="1"/>
  <c r="D25" i="7"/>
  <c r="C25" i="7" s="1"/>
  <c r="D26" i="7"/>
  <c r="C26" i="7" s="1"/>
  <c r="D27" i="7"/>
  <c r="C27" i="7" s="1"/>
  <c r="D28" i="7"/>
  <c r="C28" i="7" s="1"/>
  <c r="D29" i="7"/>
  <c r="C29" i="7" s="1"/>
  <c r="D30" i="7"/>
  <c r="C30" i="7" s="1"/>
  <c r="D31" i="7"/>
  <c r="C31" i="7" s="1"/>
  <c r="D32" i="7"/>
  <c r="C32" i="7" s="1"/>
  <c r="D33" i="7"/>
  <c r="C33" i="7" s="1"/>
  <c r="D34" i="7"/>
  <c r="C34" i="7" s="1"/>
  <c r="D35" i="7"/>
  <c r="C35" i="7" s="1"/>
  <c r="D36" i="7"/>
  <c r="C36" i="7" s="1"/>
  <c r="D37" i="7"/>
  <c r="C37" i="7" s="1"/>
  <c r="D38" i="7"/>
  <c r="C38" i="7" s="1"/>
  <c r="D39" i="7"/>
  <c r="C39" i="7" s="1"/>
  <c r="D40" i="7"/>
  <c r="C40" i="7" s="1"/>
  <c r="D41" i="7"/>
  <c r="C41" i="7" s="1"/>
  <c r="D42" i="7"/>
  <c r="C42" i="7" s="1"/>
  <c r="D43" i="7"/>
  <c r="C43" i="7" s="1"/>
  <c r="D44" i="7"/>
  <c r="C44" i="7" s="1"/>
  <c r="D45" i="7"/>
  <c r="C45" i="7" s="1"/>
  <c r="D46" i="7"/>
  <c r="C46" i="7" s="1"/>
  <c r="D47" i="7"/>
  <c r="C47" i="7" s="1"/>
  <c r="D48" i="7"/>
  <c r="C48" i="7" s="1"/>
  <c r="D49" i="7"/>
  <c r="C49" i="7" s="1"/>
  <c r="D50" i="7"/>
  <c r="C50" i="7" s="1"/>
  <c r="D51" i="7"/>
  <c r="C51" i="7" s="1"/>
  <c r="D52" i="7"/>
  <c r="C52" i="7" s="1"/>
  <c r="D53" i="7"/>
  <c r="C53" i="7" s="1"/>
  <c r="D54" i="7"/>
  <c r="C54" i="7" s="1"/>
  <c r="D55" i="7"/>
  <c r="C55" i="7" s="1"/>
  <c r="D56" i="7"/>
  <c r="C56" i="7" s="1"/>
  <c r="D57" i="7"/>
  <c r="C57" i="7" s="1"/>
  <c r="D2" i="7"/>
  <c r="C2" i="7" s="1"/>
  <c r="AC58" i="7"/>
  <c r="AR57" i="7"/>
  <c r="AQ57" i="7"/>
  <c r="AK56" i="7"/>
  <c r="AK55" i="7"/>
  <c r="AK54" i="7"/>
  <c r="AK53" i="7"/>
  <c r="AK52" i="7"/>
  <c r="AK51" i="7"/>
  <c r="AK50" i="7"/>
  <c r="AK49" i="7"/>
  <c r="AK48" i="7"/>
  <c r="AK47" i="7"/>
  <c r="AK46" i="7"/>
  <c r="AK45" i="7"/>
  <c r="AK44" i="7"/>
  <c r="AK43" i="7"/>
  <c r="AK42" i="7"/>
  <c r="AK41" i="7"/>
  <c r="AK40" i="7"/>
  <c r="AK39" i="7"/>
  <c r="AK38" i="7"/>
  <c r="AK37" i="7"/>
  <c r="AK36" i="7"/>
  <c r="AK35" i="7"/>
  <c r="AK34" i="7"/>
  <c r="AK33" i="7"/>
  <c r="AK32" i="7"/>
  <c r="AK31" i="7"/>
  <c r="AK30" i="7"/>
  <c r="AK29" i="7"/>
  <c r="AK28" i="7"/>
  <c r="AK27" i="7"/>
  <c r="AK26" i="7"/>
  <c r="AK25" i="7"/>
  <c r="AK24" i="7"/>
  <c r="AK23" i="7"/>
  <c r="AK22" i="7"/>
  <c r="AK21" i="7"/>
  <c r="AH18" i="7"/>
  <c r="AF18" i="7"/>
  <c r="G18" i="7"/>
  <c r="AD18" i="7"/>
  <c r="K18" i="7" s="1"/>
  <c r="L18" i="7" s="1"/>
  <c r="I18" i="7"/>
  <c r="AC18" i="7"/>
  <c r="AB18" i="7"/>
  <c r="AA18" i="7"/>
  <c r="Z18" i="7"/>
  <c r="Y18" i="7"/>
  <c r="X18" i="7"/>
  <c r="E18" i="7"/>
  <c r="W18" i="7"/>
  <c r="AK17" i="7"/>
  <c r="AK16" i="7"/>
  <c r="AK15" i="7"/>
  <c r="AK14" i="7"/>
  <c r="B13" i="7"/>
  <c r="B18" i="7" s="1"/>
  <c r="AJ13" i="7"/>
  <c r="AI13" i="7" s="1"/>
  <c r="V13" i="7"/>
  <c r="V18" i="7" s="1"/>
  <c r="AK12" i="7"/>
  <c r="AK11" i="7"/>
  <c r="AK10" i="7"/>
  <c r="AK9" i="7"/>
  <c r="AK8" i="7"/>
  <c r="AK7" i="7"/>
  <c r="AK6" i="7"/>
  <c r="AK5" i="7"/>
  <c r="AK4" i="7"/>
  <c r="AK3" i="7"/>
  <c r="AK2" i="7"/>
  <c r="D60" i="8" l="1"/>
  <c r="Q57" i="7"/>
  <c r="P57" i="7"/>
  <c r="D18" i="7"/>
  <c r="C18" i="7" s="1"/>
  <c r="F18" i="7"/>
  <c r="D13" i="7"/>
  <c r="C13" i="7" s="1"/>
  <c r="J13" i="7"/>
  <c r="AC19" i="7"/>
  <c r="W19" i="7"/>
  <c r="AJ18" i="7"/>
  <c r="J18" i="7" s="1"/>
  <c r="AE13" i="7"/>
  <c r="L13" i="7" s="1"/>
  <c r="AK13" i="7"/>
  <c r="AK18" i="7" s="1"/>
  <c r="AK57" i="7" s="1"/>
  <c r="V19" i="7"/>
  <c r="H13" i="7"/>
  <c r="V20" i="7"/>
  <c r="L10" i="6"/>
  <c r="C10" i="6" s="1"/>
  <c r="L18" i="6"/>
  <c r="C18" i="6" s="1"/>
  <c r="L2" i="6"/>
  <c r="C2" i="6" s="1"/>
  <c r="M2" i="6"/>
  <c r="G2" i="6" s="1"/>
  <c r="K3" i="6"/>
  <c r="M3" i="6" s="1"/>
  <c r="K4" i="6"/>
  <c r="M4" i="6" s="1"/>
  <c r="K2" i="6"/>
  <c r="K25" i="6"/>
  <c r="M25" i="6" s="1"/>
  <c r="K24" i="6"/>
  <c r="M24" i="6" s="1"/>
  <c r="K23" i="6"/>
  <c r="M23" i="6" s="1"/>
  <c r="K22" i="6"/>
  <c r="M22" i="6" s="1"/>
  <c r="G22" i="6" s="1"/>
  <c r="K21" i="6"/>
  <c r="M21" i="6" s="1"/>
  <c r="K20" i="6"/>
  <c r="M20" i="6" s="1"/>
  <c r="K19" i="6"/>
  <c r="M19" i="6" s="1"/>
  <c r="K18" i="6"/>
  <c r="M18" i="6" s="1"/>
  <c r="G18" i="6" s="1"/>
  <c r="K17" i="6"/>
  <c r="M17" i="6" s="1"/>
  <c r="K16" i="6"/>
  <c r="M16" i="6" s="1"/>
  <c r="K15" i="6"/>
  <c r="M15" i="6" s="1"/>
  <c r="K14" i="6"/>
  <c r="L14" i="6" s="1"/>
  <c r="C14" i="6" s="1"/>
  <c r="K13" i="6"/>
  <c r="M13" i="6" s="1"/>
  <c r="K12" i="6"/>
  <c r="M12" i="6" s="1"/>
  <c r="K11" i="6"/>
  <c r="M11" i="6" s="1"/>
  <c r="K10" i="6"/>
  <c r="M10" i="6" s="1"/>
  <c r="G10" i="6" s="1"/>
  <c r="K9" i="6"/>
  <c r="M9" i="6" s="1"/>
  <c r="K8" i="6"/>
  <c r="M8" i="6" s="1"/>
  <c r="K7" i="6"/>
  <c r="M7" i="6" s="1"/>
  <c r="K6" i="6"/>
  <c r="M6" i="6" s="1"/>
  <c r="G6" i="6" s="1"/>
  <c r="K5" i="6"/>
  <c r="M5" i="6" s="1"/>
  <c r="H18" i="7" l="1"/>
  <c r="W20" i="7"/>
  <c r="L25" i="6"/>
  <c r="C25" i="6" s="1"/>
  <c r="L9" i="6"/>
  <c r="C9" i="6" s="1"/>
  <c r="M14" i="6"/>
  <c r="G14" i="6" s="1"/>
  <c r="L22" i="6"/>
  <c r="C22" i="6" s="1"/>
  <c r="L6" i="6"/>
  <c r="C6" i="6" s="1"/>
  <c r="L17" i="6"/>
  <c r="C17" i="6" s="1"/>
  <c r="L21" i="6"/>
  <c r="C21" i="6" s="1"/>
  <c r="L13" i="6"/>
  <c r="C13" i="6" s="1"/>
  <c r="L5" i="6"/>
  <c r="C5" i="6" s="1"/>
  <c r="L24" i="6"/>
  <c r="C24" i="6" s="1"/>
  <c r="L20" i="6"/>
  <c r="C20" i="6" s="1"/>
  <c r="L16" i="6"/>
  <c r="C16" i="6" s="1"/>
  <c r="L12" i="6"/>
  <c r="C12" i="6" s="1"/>
  <c r="L8" i="6"/>
  <c r="C8" i="6" s="1"/>
  <c r="L4" i="6"/>
  <c r="C4" i="6" s="1"/>
  <c r="L23" i="6"/>
  <c r="C23" i="6" s="1"/>
  <c r="L19" i="6"/>
  <c r="C19" i="6" s="1"/>
  <c r="L15" i="6"/>
  <c r="C15" i="6" s="1"/>
  <c r="L11" i="6"/>
  <c r="L7" i="6"/>
  <c r="L3" i="6"/>
  <c r="C3" i="6" s="1"/>
  <c r="C11" i="6"/>
  <c r="C7" i="6"/>
  <c r="G3" i="6"/>
  <c r="G25" i="6"/>
  <c r="G21" i="6"/>
  <c r="G17" i="6"/>
  <c r="G13" i="6"/>
  <c r="G9" i="6"/>
  <c r="G5" i="6"/>
  <c r="G24" i="6"/>
  <c r="G20" i="6"/>
  <c r="G16" i="6"/>
  <c r="G12" i="6"/>
  <c r="G8" i="6"/>
  <c r="G4" i="6"/>
  <c r="G23" i="6"/>
  <c r="G19" i="6"/>
  <c r="G15" i="6"/>
  <c r="G11" i="6"/>
  <c r="G7" i="6"/>
  <c r="G57" i="4" l="1"/>
  <c r="F57" i="4"/>
  <c r="E57" i="4"/>
  <c r="G19" i="4"/>
  <c r="F19" i="4"/>
  <c r="E19" i="4"/>
  <c r="E57" i="5"/>
  <c r="I57" i="5" s="1"/>
  <c r="H57" i="5"/>
  <c r="F57" i="5"/>
  <c r="I18" i="5"/>
  <c r="H18" i="5"/>
  <c r="G18" i="5"/>
  <c r="F18" i="5"/>
  <c r="E18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21" i="5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2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21" i="5"/>
  <c r="G6" i="5"/>
  <c r="G7" i="5"/>
  <c r="G10" i="5"/>
  <c r="G11" i="5"/>
  <c r="G14" i="5"/>
  <c r="G15" i="5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2" i="5"/>
  <c r="F3" i="5"/>
  <c r="G3" i="5" s="1"/>
  <c r="F4" i="5"/>
  <c r="G4" i="5" s="1"/>
  <c r="F5" i="5"/>
  <c r="G5" i="5" s="1"/>
  <c r="F6" i="5"/>
  <c r="F7" i="5"/>
  <c r="F8" i="5"/>
  <c r="G8" i="5" s="1"/>
  <c r="F9" i="5"/>
  <c r="G9" i="5" s="1"/>
  <c r="F10" i="5"/>
  <c r="F11" i="5"/>
  <c r="F12" i="5"/>
  <c r="G12" i="5" s="1"/>
  <c r="F13" i="5"/>
  <c r="G13" i="5" s="1"/>
  <c r="F14" i="5"/>
  <c r="F15" i="5"/>
  <c r="F16" i="5"/>
  <c r="G16" i="5" s="1"/>
  <c r="F17" i="5"/>
  <c r="G17" i="5" s="1"/>
  <c r="F2" i="5"/>
  <c r="G2" i="5" s="1"/>
  <c r="B18" i="5"/>
  <c r="M18" i="1"/>
  <c r="Q18" i="1"/>
  <c r="P58" i="1"/>
  <c r="K19" i="1"/>
  <c r="K58" i="1"/>
  <c r="C59" i="1"/>
  <c r="C19" i="1"/>
  <c r="B18" i="1"/>
  <c r="B20" i="1"/>
  <c r="D58" i="1"/>
  <c r="E58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C58" i="1" s="1"/>
  <c r="E3" i="1"/>
  <c r="E4" i="1"/>
  <c r="E5" i="1"/>
  <c r="E6" i="1"/>
  <c r="E7" i="1"/>
  <c r="E8" i="1"/>
  <c r="E9" i="1"/>
  <c r="E10" i="1"/>
  <c r="A20" i="1" s="1"/>
  <c r="E11" i="1"/>
  <c r="E12" i="1"/>
  <c r="E13" i="1"/>
  <c r="E14" i="1"/>
  <c r="E15" i="1"/>
  <c r="E16" i="1"/>
  <c r="E17" i="1"/>
  <c r="E18" i="1"/>
  <c r="D20" i="1" s="1"/>
  <c r="E2" i="1"/>
  <c r="X18" i="1"/>
  <c r="V18" i="1"/>
  <c r="T18" i="1"/>
  <c r="R18" i="1"/>
  <c r="P18" i="1"/>
  <c r="C18" i="1"/>
  <c r="D18" i="1"/>
  <c r="F18" i="1"/>
  <c r="G18" i="1"/>
  <c r="H18" i="1"/>
  <c r="I18" i="1"/>
  <c r="J18" i="1"/>
  <c r="K18" i="1"/>
  <c r="L18" i="1"/>
  <c r="N18" i="1"/>
  <c r="C57" i="5"/>
  <c r="D57" i="5" s="1"/>
  <c r="C56" i="5"/>
  <c r="D56" i="5" s="1"/>
  <c r="C55" i="5"/>
  <c r="D55" i="5" s="1"/>
  <c r="C54" i="5"/>
  <c r="D54" i="5" s="1"/>
  <c r="C53" i="5"/>
  <c r="D53" i="5" s="1"/>
  <c r="C52" i="5"/>
  <c r="D52" i="5" s="1"/>
  <c r="C51" i="5"/>
  <c r="D51" i="5" s="1"/>
  <c r="C50" i="5"/>
  <c r="D50" i="5" s="1"/>
  <c r="C49" i="5"/>
  <c r="D49" i="5" s="1"/>
  <c r="C48" i="5"/>
  <c r="C47" i="5"/>
  <c r="D47" i="5" s="1"/>
  <c r="C46" i="5"/>
  <c r="D46" i="5" s="1"/>
  <c r="C45" i="5"/>
  <c r="D45" i="5" s="1"/>
  <c r="C44" i="5"/>
  <c r="D44" i="5" s="1"/>
  <c r="C43" i="5"/>
  <c r="D43" i="5" s="1"/>
  <c r="C42" i="5"/>
  <c r="D42" i="5" s="1"/>
  <c r="C41" i="5"/>
  <c r="D41" i="5" s="1"/>
  <c r="C40" i="5"/>
  <c r="D40" i="5" s="1"/>
  <c r="C39" i="5"/>
  <c r="D39" i="5" s="1"/>
  <c r="C38" i="5"/>
  <c r="D38" i="5" s="1"/>
  <c r="C37" i="5"/>
  <c r="D37" i="5" s="1"/>
  <c r="C36" i="5"/>
  <c r="D36" i="5" s="1"/>
  <c r="C35" i="5"/>
  <c r="D35" i="5" s="1"/>
  <c r="C34" i="5"/>
  <c r="D34" i="5" s="1"/>
  <c r="C33" i="5"/>
  <c r="D33" i="5" s="1"/>
  <c r="C32" i="5"/>
  <c r="D32" i="5" s="1"/>
  <c r="C31" i="5"/>
  <c r="D31" i="5" s="1"/>
  <c r="C30" i="5"/>
  <c r="D30" i="5" s="1"/>
  <c r="C29" i="5"/>
  <c r="D29" i="5" s="1"/>
  <c r="C28" i="5"/>
  <c r="D28" i="5" s="1"/>
  <c r="C27" i="5"/>
  <c r="D27" i="5" s="1"/>
  <c r="C26" i="5"/>
  <c r="D26" i="5" s="1"/>
  <c r="C25" i="5"/>
  <c r="D25" i="5" s="1"/>
  <c r="C24" i="5"/>
  <c r="D24" i="5" s="1"/>
  <c r="C23" i="5"/>
  <c r="D23" i="5" s="1"/>
  <c r="C22" i="5"/>
  <c r="D22" i="5" s="1"/>
  <c r="C21" i="5"/>
  <c r="D21" i="5" s="1"/>
  <c r="C17" i="5"/>
  <c r="D17" i="5" s="1"/>
  <c r="C16" i="5"/>
  <c r="D16" i="5" s="1"/>
  <c r="C15" i="5"/>
  <c r="D15" i="5" s="1"/>
  <c r="C14" i="5"/>
  <c r="D14" i="5" s="1"/>
  <c r="C12" i="5"/>
  <c r="D12" i="5" s="1"/>
  <c r="C11" i="5"/>
  <c r="D11" i="5" s="1"/>
  <c r="C10" i="5"/>
  <c r="D10" i="5" s="1"/>
  <c r="C9" i="5"/>
  <c r="D9" i="5" s="1"/>
  <c r="C8" i="5"/>
  <c r="D8" i="5" s="1"/>
  <c r="C7" i="5"/>
  <c r="D7" i="5" s="1"/>
  <c r="C6" i="5"/>
  <c r="D6" i="5" s="1"/>
  <c r="C5" i="5"/>
  <c r="D5" i="5" s="1"/>
  <c r="C4" i="5"/>
  <c r="D4" i="5" s="1"/>
  <c r="C3" i="5"/>
  <c r="D3" i="5" s="1"/>
  <c r="C2" i="5"/>
  <c r="D2" i="5" s="1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  <c r="X13" i="1"/>
  <c r="C13" i="5" s="1"/>
  <c r="D13" i="5" s="1"/>
  <c r="V13" i="1"/>
  <c r="U13" i="1" s="1"/>
  <c r="B13" i="1"/>
  <c r="G57" i="5" l="1"/>
  <c r="C18" i="5"/>
  <c r="D18" i="5" s="1"/>
  <c r="C20" i="1"/>
  <c r="E20" i="1"/>
  <c r="F20" i="1"/>
  <c r="M13" i="1"/>
  <c r="O13" i="1"/>
  <c r="Q13" i="1"/>
  <c r="AF57" i="1" l="1"/>
  <c r="AE57" i="1"/>
  <c r="W48" i="1"/>
  <c r="W13" i="1" l="1"/>
  <c r="W54" i="1"/>
  <c r="W51" i="1"/>
  <c r="W47" i="1"/>
  <c r="W44" i="1"/>
  <c r="W41" i="1"/>
  <c r="W37" i="1"/>
  <c r="W34" i="1"/>
  <c r="W8" i="1"/>
  <c r="W29" i="1"/>
  <c r="W6" i="1"/>
  <c r="W24" i="1"/>
  <c r="W21" i="1"/>
  <c r="W56" i="1"/>
  <c r="W53" i="1"/>
  <c r="W15" i="1"/>
  <c r="W46" i="1"/>
  <c r="W11" i="1"/>
  <c r="W40" i="1"/>
  <c r="W36" i="1"/>
  <c r="W33" i="1"/>
  <c r="W7" i="1"/>
  <c r="W28" i="1"/>
  <c r="W5" i="1"/>
  <c r="W23" i="1"/>
  <c r="W2" i="1"/>
  <c r="W55" i="1"/>
  <c r="W16" i="1"/>
  <c r="W14" i="1"/>
  <c r="W49" i="1"/>
  <c r="W12" i="1"/>
  <c r="W43" i="1"/>
  <c r="W39" i="1"/>
  <c r="W10" i="1"/>
  <c r="W9" i="1"/>
  <c r="W31" i="1"/>
  <c r="W27" i="1"/>
  <c r="W4" i="1"/>
  <c r="W3" i="1"/>
  <c r="W17" i="1"/>
  <c r="W52" i="1"/>
  <c r="W50" i="1"/>
  <c r="W45" i="1"/>
  <c r="W42" i="1"/>
  <c r="W38" i="1"/>
  <c r="W35" i="1"/>
  <c r="W32" i="1"/>
  <c r="W30" i="1"/>
  <c r="W26" i="1"/>
  <c r="W25" i="1"/>
  <c r="W22" i="1"/>
  <c r="W18" i="1" l="1"/>
  <c r="W57" i="1" s="1"/>
</calcChain>
</file>

<file path=xl/sharedStrings.xml><?xml version="1.0" encoding="utf-8"?>
<sst xmlns="http://schemas.openxmlformats.org/spreadsheetml/2006/main" count="576" uniqueCount="244">
  <si>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</si>
  <si>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</si>
  <si>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</si>
  <si>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</si>
  <si>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</si>
  <si>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</si>
  <si>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</si>
  <si>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</si>
  <si>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</si>
  <si>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</si>
  <si>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</si>
  <si>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</si>
  <si>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</si>
  <si>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</si>
  <si>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</si>
  <si>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</si>
  <si>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</si>
  <si>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</si>
  <si>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</si>
  <si>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</si>
  <si>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</si>
  <si>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</si>
  <si>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</si>
  <si>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</si>
  <si>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</si>
  <si>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</si>
  <si>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</si>
  <si>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</si>
  <si>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</si>
  <si>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</si>
  <si>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</si>
  <si>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</si>
  <si>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</si>
  <si>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</si>
  <si>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</si>
  <si>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</si>
  <si>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</si>
  <si>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</si>
  <si>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</si>
  <si>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</si>
  <si>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Dakota</t>
  </si>
  <si>
    <t>Tennessee</t>
  </si>
  <si>
    <t>Texas</t>
  </si>
  <si>
    <t>Utah</t>
  </si>
  <si>
    <t>Vermont</t>
  </si>
  <si>
    <t>Virginia</t>
  </si>
  <si>
    <t>Washington</t>
  </si>
  <si>
    <t>Washington, DC</t>
  </si>
  <si>
    <t>West Virginia</t>
  </si>
  <si>
    <t>Wisconsin</t>
  </si>
  <si>
    <t>Wyoming</t>
  </si>
  <si>
    <t>Total</t>
  </si>
  <si>
    <t>Alabama Student Assistance Program</t>
  </si>
  <si>
    <t>Alaska Education Grant</t>
  </si>
  <si>
    <t>AZLEAP</t>
  </si>
  <si>
    <t>Higher Education Opportunities Grant Program</t>
  </si>
  <si>
    <t>Cal Grant A, B, C</t>
  </si>
  <si>
    <t>Colorado Student Grant</t>
  </si>
  <si>
    <t>Roberta B. Willis Scholarship Program - Need-Based Grant</t>
  </si>
  <si>
    <t>Scholarship Incentive Program</t>
  </si>
  <si>
    <t>Florida Student Assistance Grants</t>
  </si>
  <si>
    <t>*</t>
  </si>
  <si>
    <t>Hawaii Promise Scholarship Program</t>
  </si>
  <si>
    <t>Opportunity Scholarship</t>
  </si>
  <si>
    <t>Monetary Award Program</t>
  </si>
  <si>
    <t>Indiana Higher Education Award &amp; Freedom of Choice Grants (Frank OBannon Grant)</t>
  </si>
  <si>
    <t>Iowa Tuition Grant Program - Not-for-Profit</t>
  </si>
  <si>
    <t>Kansas Comprehensive Grant</t>
  </si>
  <si>
    <t>College Access Program (CAP) Grant</t>
  </si>
  <si>
    <t>Louisiana Go Grants</t>
  </si>
  <si>
    <t>Maine State Grant Program</t>
  </si>
  <si>
    <t>Howard P. Rawlings Grants</t>
  </si>
  <si>
    <t>MASSGrant</t>
  </si>
  <si>
    <t>Michigan Competitive Scholarship</t>
  </si>
  <si>
    <t>MN State Grant</t>
  </si>
  <si>
    <t>MS Higher Ed. Legislative Plan</t>
  </si>
  <si>
    <t>Access Missouri Financial Assistance Program</t>
  </si>
  <si>
    <t>State SEOG Match</t>
  </si>
  <si>
    <t>Nebraska Opportunity Grant</t>
  </si>
  <si>
    <t>Silver State Opportunity Grant (SSOG)</t>
  </si>
  <si>
    <t>Governor's Scholarship</t>
  </si>
  <si>
    <t>Tuition Aid Grant</t>
  </si>
  <si>
    <t>NM State Student Incentive Grant</t>
  </si>
  <si>
    <t>Tuition Assistance Program</t>
  </si>
  <si>
    <t>NC CC Grant, Need Based, UNC Need Based</t>
  </si>
  <si>
    <t>North Dakota State Student Incentive Grant Program</t>
  </si>
  <si>
    <t>Ohio College Opportunity Grant Program</t>
  </si>
  <si>
    <t>Oklahoma Tuition Aid Grant</t>
  </si>
  <si>
    <t>Oregon Opportunity Grant</t>
  </si>
  <si>
    <t>Pennsylvania State Grant Program</t>
  </si>
  <si>
    <t>Undergraduate Supplementary Aid</t>
  </si>
  <si>
    <t>Rhode Island State Grant Program</t>
  </si>
  <si>
    <t>SC Need-based Grant</t>
  </si>
  <si>
    <t>SC Tuition Grants Program</t>
  </si>
  <si>
    <t>South Dakota Need Based Grant Program</t>
  </si>
  <si>
    <t>Tennessee Student Assistance Award</t>
  </si>
  <si>
    <t>TEXAS Grant</t>
  </si>
  <si>
    <t>Utah Higher Education Success Stipend Program (HESSP)</t>
  </si>
  <si>
    <t>Vermont Incentive Grant</t>
  </si>
  <si>
    <t>VSFAP</t>
  </si>
  <si>
    <t>Washington State Need Grant Program</t>
  </si>
  <si>
    <t>Mayors Scholars Undergraduate Program</t>
  </si>
  <si>
    <t>West Virginia Higher Education Grant Program</t>
  </si>
  <si>
    <t>Wisconsin Grant</t>
  </si>
  <si>
    <t>State</t>
  </si>
  <si>
    <t>&lt;0.1%</t>
  </si>
  <si>
    <t>Primary Need Grant</t>
  </si>
  <si>
    <t>State Fiscal Support for Higher Education</t>
  </si>
  <si>
    <t>Estimated UG Grant Dollars/FTE</t>
  </si>
  <si>
    <t>Estimated Need-based UG Grant Dollars/FTE</t>
  </si>
  <si>
    <t>Estimated Population</t>
  </si>
  <si>
    <t>Estimated Population Age 18-24</t>
  </si>
  <si>
    <t>South Carolina</t>
  </si>
  <si>
    <t>Total State Residents with Loan Debt as of June 2020</t>
  </si>
  <si>
    <t>UG Primary Need-Based Grant in Millions</t>
  </si>
  <si>
    <t>UG Other Need-Based Grants in Millions</t>
  </si>
  <si>
    <t>UG Loans in Millions</t>
  </si>
  <si>
    <t>UG Loan Repayment in Millions</t>
  </si>
  <si>
    <t>UG Non-Need Grants in Millions</t>
  </si>
  <si>
    <t>UG Conditional or Forgivable Loan in Millions</t>
  </si>
  <si>
    <t>UG Work-Study in Millions</t>
  </si>
  <si>
    <t>UG Tuition Waiver in Millions</t>
  </si>
  <si>
    <t>UG Other Aid in Millions</t>
  </si>
  <si>
    <t>PNG Maximum Award</t>
  </si>
  <si>
    <t>PNG Minimum Award</t>
  </si>
  <si>
    <t>PNG Number of Recipients</t>
  </si>
  <si>
    <t>PNG Expenditures</t>
  </si>
  <si>
    <t>PNG Expenditures/Number of Recipients</t>
  </si>
  <si>
    <t>UG and G Total Aid</t>
  </si>
  <si>
    <t>UG Aid Based on Need Only in Millions</t>
  </si>
  <si>
    <t>UG Aid Based on Need and Merit in Millions</t>
  </si>
  <si>
    <t>UG Aid Based on Merit Only in Millions</t>
  </si>
  <si>
    <t>UG Aid Awarded for Special Purposein Millions</t>
  </si>
  <si>
    <t>Uncategorized UG Aid in Millions</t>
  </si>
  <si>
    <t>UG Total Aid in Millions</t>
  </si>
  <si>
    <t>G Total Aid in Millions</t>
  </si>
  <si>
    <t>UG and G Total Aid in Millions</t>
  </si>
  <si>
    <t>% of Borrowers 90 Days Past Due as of June 2020</t>
  </si>
  <si>
    <t>% of Balance 90 Days Past Due as of June 2020</t>
  </si>
  <si>
    <t>Cumulative Loan Debt as of June 2020</t>
  </si>
  <si>
    <t>Average Cumulative Loan Debt per Borrower as of June 2020</t>
  </si>
  <si>
    <t>Total Aid as % of State Fiscal Support for HE</t>
  </si>
  <si>
    <t>UG FTE</t>
  </si>
  <si>
    <t>UG Aid Based on Need Only as % of State UG Total</t>
  </si>
  <si>
    <t>UG Aid Based on Need and Merit as % of State UG Total</t>
  </si>
  <si>
    <t>UG Aid Based on Merit Only as % of State UG Total</t>
  </si>
  <si>
    <t>UG Aid Awarded for Special Purpose as % of State UG Total</t>
  </si>
  <si>
    <t>Uncategorized UG Aid as % of State UG Total</t>
  </si>
  <si>
    <t>SREB Totals/Averages</t>
  </si>
  <si>
    <t>Total UG Grants in Millions</t>
  </si>
  <si>
    <t>UG Grant Dollars</t>
  </si>
  <si>
    <t>UG Need-Based Grants</t>
  </si>
  <si>
    <t>Aid Year</t>
  </si>
  <si>
    <t>South Urban CPI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</si>
  <si>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</si>
  <si>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</si>
  <si>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</si>
  <si>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</si>
  <si>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</si>
  <si>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</si>
  <si>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</si>
  <si>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</si>
  <si>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</si>
  <si>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</si>
  <si>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</si>
  <si>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</si>
  <si>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</si>
  <si>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</si>
  <si>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</si>
  <si>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</si>
  <si>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</si>
  <si>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</si>
  <si>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</si>
  <si>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</si>
  <si>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</si>
  <si>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</si>
  <si>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1996-97</t>
  </si>
  <si>
    <t>MTAG Award Amount (Jr/Sr)</t>
  </si>
  <si>
    <t>MTAG Award Amount (Fr/So)</t>
  </si>
  <si>
    <t>Average Community College Tuition</t>
  </si>
  <si>
    <t>Average University Tuition</t>
  </si>
  <si>
    <t>Percentage Covered by MTAG</t>
  </si>
  <si>
    <t>Value of MTAG in 1997 Dollars</t>
  </si>
  <si>
    <t>2019-20</t>
  </si>
  <si>
    <t>CPI Rate</t>
  </si>
  <si>
    <t xml:space="preserve">MTAG UC </t>
  </si>
  <si>
    <t>MTAG LC</t>
  </si>
  <si>
    <t>SREB Total</t>
  </si>
  <si>
    <t>UG Need-Based Grants in Millions</t>
  </si>
  <si>
    <t>UG Non-Grant Aid in Millions</t>
  </si>
  <si>
    <t>Other UG Aid in Millions</t>
  </si>
  <si>
    <t>Other UG Aid as % of State UG Total in Millions</t>
  </si>
  <si>
    <t>2020-21</t>
  </si>
  <si>
    <t>Cumulative Loan Debt as of June 2020 in Millions</t>
  </si>
  <si>
    <t>Primary Need Grant Expenditures/Number of Recipients</t>
  </si>
  <si>
    <t>SREB Totals</t>
  </si>
  <si>
    <t>Four-Year Award Matrix</t>
  </si>
  <si>
    <t>Total Awards Based on 2017-18 Enrollment and Application Data</t>
  </si>
  <si>
    <t>Award Amount</t>
  </si>
  <si>
    <t>EFC = 0</t>
  </si>
  <si>
    <t>EFC = 1-500</t>
  </si>
  <si>
    <t>EFC = 501-1000</t>
  </si>
  <si>
    <t>EFC = 1001-1500</t>
  </si>
  <si>
    <t>EFC = 1501-2000</t>
  </si>
  <si>
    <t>EFC = 2001-2500</t>
  </si>
  <si>
    <t>EFC = 2501-3000</t>
  </si>
  <si>
    <t>EFC = 3001-3500</t>
  </si>
  <si>
    <t>EFC = 3501-4000</t>
  </si>
  <si>
    <t>EFC = 4001-4500</t>
  </si>
  <si>
    <t>EFC = 4501-5000</t>
  </si>
  <si>
    <t>EFC = 5001-5500</t>
  </si>
  <si>
    <t>EFC =5501-6000</t>
  </si>
  <si>
    <t>EFC = 6001-7000</t>
  </si>
  <si>
    <t>EFC = 7001-8000</t>
  </si>
  <si>
    <t>EFC = 8001-9000</t>
  </si>
  <si>
    <t>EFC = 9001+</t>
  </si>
  <si>
    <t>Part-time (Per Term)</t>
  </si>
  <si>
    <t>Full-time (Per Term)</t>
  </si>
  <si>
    <t>20+ ACT (Per Term)</t>
  </si>
  <si>
    <t>30 Hrs (Annual)</t>
  </si>
  <si>
    <t>2017-18 Qualifiers</t>
  </si>
  <si>
    <t>Projected Expenditure</t>
  </si>
  <si>
    <t>2.5 Cum. Fall GPA w/ Min. 6 Hrs.</t>
  </si>
  <si>
    <t xml:space="preserve">     AND 6-11 HRS Fall (Part-time)</t>
  </si>
  <si>
    <t xml:space="preserve">     AND 12+ HRS  Fall (Full-time)</t>
  </si>
  <si>
    <t xml:space="preserve">          20+ ACT Bonus (Full-time only)</t>
  </si>
  <si>
    <t>2.5 Cum. Spr. GPA w/ Min. 6 Hrs.</t>
  </si>
  <si>
    <t xml:space="preserve">     AND 6-11 HRS Spr (Part-time)</t>
  </si>
  <si>
    <t xml:space="preserve">     AND 12+ HRS  Spr (Full-time)</t>
  </si>
  <si>
    <t xml:space="preserve">          20+ ACT Bonus</t>
  </si>
  <si>
    <t>30+ HRS Year</t>
  </si>
  <si>
    <t>Four-Year Individual Award Maximums</t>
  </si>
  <si>
    <t>Part-time, Full-Year</t>
  </si>
  <si>
    <t>Full-time, Full-Year</t>
  </si>
  <si>
    <t xml:space="preserve"> + 20+ ACT Bonus (Full-time, Full Year)</t>
  </si>
  <si>
    <t xml:space="preserve"> + 30+ HRS Year</t>
  </si>
  <si>
    <t>Total Possible Full-time, Full-Year</t>
  </si>
  <si>
    <t>Two-Year Award Matrix</t>
  </si>
  <si>
    <t>Two-Year Individual Award Maximums</t>
  </si>
  <si>
    <t>Actual Awards for 2017-18 for MTAG, MESG, and HELP Under Current System</t>
  </si>
  <si>
    <t>Total Students</t>
  </si>
  <si>
    <t>Total Amount</t>
  </si>
  <si>
    <t>Four-Year Publics and Privates</t>
  </si>
  <si>
    <t>Two-Year Publics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</si>
</sst>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0.0%"/>
    <numFmt numFmtId="166" formatCode="0.0%;\(0.0%\);* &quot;-&quot;??_)"/>
    <numFmt numFmtId="167" formatCode="_(&quot;$&quot;* #,##0_);_(&quot;$&quot;* \(#,##0\);_(&quot;$&quot;* &quot;-&quot;??_);_(@_)"/>
    <numFmt numFmtId="168" formatCode="_(* #,##0_);_(* \(#,##0\);_(* &quot;-&quot;??_);_(@_)"/>
    <numFmt numFmtId="169" formatCode="0.000"/>
    <numFmt numFmtId="170" formatCode="0.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9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194">
    <xf numFmtId="0" fontId="0" fillId="0" borderId="0" xfId="0"/>
    <xf numFmtId="0" fontId="0" fillId="0" borderId="0" xfId="0"/>
    <xf numFmtId="165" fontId="2" fillId="0" borderId="1" xfId="3" applyNumberFormat="1" applyFont="1" applyBorder="1" applyAlignment="1">
      <alignment horizontal="center" wrapText="1"/>
    </xf>
    <xf numFmtId="164" fontId="2" fillId="0" borderId="1" xfId="1" applyNumberFormat="1" applyFont="1" applyBorder="1" applyAlignment="1">
      <alignment horizontal="center" wrapText="1"/>
    </xf>
    <xf numFmtId="44" fontId="2" fillId="0" borderId="1" xfId="2" applyFont="1" applyBorder="1" applyAlignment="1">
      <alignment horizontal="center" wrapText="1"/>
    </xf>
    <xf numFmtId="168" fontId="2" fillId="0" borderId="1" xfId="1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4" fontId="3" fillId="0" borderId="1" xfId="2" applyFont="1" applyBorder="1" applyAlignment="1">
      <alignment horizontal="center" wrapText="1"/>
    </xf>
    <xf numFmtId="167" fontId="3" fillId="0" borderId="1" xfId="2" applyNumberFormat="1" applyFont="1" applyBorder="1" applyAlignment="1">
      <alignment horizontal="center" wrapText="1"/>
    </xf>
    <xf numFmtId="10" fontId="3" fillId="0" borderId="1" xfId="3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/>
    <xf numFmtId="44" fontId="5" fillId="0" borderId="1" xfId="2" applyFont="1" applyBorder="1"/>
    <xf numFmtId="166" fontId="5" fillId="0" borderId="1" xfId="3" applyNumberFormat="1" applyFont="1" applyBorder="1" applyAlignment="1">
      <alignment horizontal="center"/>
    </xf>
    <xf numFmtId="167" fontId="5" fillId="0" borderId="1" xfId="2" applyNumberFormat="1" applyFont="1" applyBorder="1"/>
    <xf numFmtId="10" fontId="5" fillId="0" borderId="1" xfId="3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168" fontId="5" fillId="0" borderId="1" xfId="1" applyNumberFormat="1" applyFont="1" applyBorder="1"/>
    <xf numFmtId="168" fontId="5" fillId="0" borderId="1" xfId="1" applyNumberFormat="1" applyFont="1" applyBorder="1" applyAlignment="1">
      <alignment horizontal="center"/>
    </xf>
    <xf numFmtId="9" fontId="5" fillId="0" borderId="1" xfId="3" applyFont="1" applyBorder="1" applyAlignment="1">
      <alignment horizontal="center"/>
    </xf>
    <xf numFmtId="166" fontId="5" fillId="0" borderId="1" xfId="3" applyNumberFormat="1" applyFont="1" applyFill="1" applyBorder="1" applyAlignment="1">
      <alignment horizontal="center"/>
    </xf>
    <xf numFmtId="44" fontId="5" fillId="0" borderId="1" xfId="2" applyFont="1" applyFill="1" applyBorder="1"/>
    <xf numFmtId="168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9" fontId="5" fillId="0" borderId="1" xfId="3" applyFont="1" applyBorder="1"/>
    <xf numFmtId="165" fontId="5" fillId="0" borderId="1" xfId="3" applyNumberFormat="1" applyFont="1" applyBorder="1"/>
    <xf numFmtId="44" fontId="5" fillId="0" borderId="1" xfId="2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169" fontId="0" fillId="0" borderId="0" xfId="3" applyNumberFormat="1" applyFont="1" applyAlignment="1">
      <alignment horizontal="center"/>
    </xf>
    <xf numFmtId="169" fontId="0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170" fontId="0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44" fontId="0" fillId="0" borderId="0" xfId="2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169" fontId="0" fillId="0" borderId="0" xfId="0" applyNumberFormat="1" applyFont="1" applyAlignment="1">
      <alignment horizontal="center"/>
    </xf>
    <xf numFmtId="0" fontId="0" fillId="0" borderId="0" xfId="0" applyFont="1"/>
    <xf numFmtId="169" fontId="7" fillId="0" borderId="0" xfId="4" applyNumberFormat="1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44" fontId="3" fillId="0" borderId="1" xfId="2" applyFont="1" applyBorder="1"/>
    <xf numFmtId="0" fontId="3" fillId="0" borderId="1" xfId="0" applyFont="1" applyBorder="1"/>
    <xf numFmtId="44" fontId="5" fillId="0" borderId="3" xfId="2" applyFont="1" applyBorder="1"/>
    <xf numFmtId="44" fontId="5" fillId="0" borderId="4" xfId="2" applyFont="1" applyBorder="1"/>
    <xf numFmtId="44" fontId="9" fillId="0" borderId="1" xfId="2" applyFont="1" applyBorder="1"/>
    <xf numFmtId="166" fontId="9" fillId="0" borderId="1" xfId="3" applyNumberFormat="1" applyFont="1" applyBorder="1" applyAlignment="1">
      <alignment horizontal="center"/>
    </xf>
    <xf numFmtId="0" fontId="9" fillId="0" borderId="1" xfId="0" applyFont="1" applyBorder="1"/>
    <xf numFmtId="3" fontId="9" fillId="0" borderId="1" xfId="0" applyNumberFormat="1" applyFont="1" applyBorder="1" applyAlignment="1">
      <alignment horizontal="center"/>
    </xf>
    <xf numFmtId="165" fontId="5" fillId="0" borderId="4" xfId="3" applyNumberFormat="1" applyFont="1" applyBorder="1"/>
    <xf numFmtId="166" fontId="3" fillId="0" borderId="1" xfId="3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9" fontId="5" fillId="0" borderId="4" xfId="3" applyFont="1" applyBorder="1"/>
    <xf numFmtId="166" fontId="5" fillId="0" borderId="3" xfId="3" applyNumberFormat="1" applyFont="1" applyBorder="1" applyAlignment="1">
      <alignment horizontal="center"/>
    </xf>
    <xf numFmtId="166" fontId="5" fillId="0" borderId="4" xfId="3" applyNumberFormat="1" applyFont="1" applyBorder="1" applyAlignment="1">
      <alignment horizontal="center"/>
    </xf>
    <xf numFmtId="44" fontId="3" fillId="0" borderId="6" xfId="2" applyFont="1" applyBorder="1"/>
    <xf numFmtId="0" fontId="5" fillId="0" borderId="4" xfId="0" applyFont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44" fontId="5" fillId="0" borderId="3" xfId="2" applyFont="1" applyBorder="1" applyAlignment="1">
      <alignment horizontal="center"/>
    </xf>
    <xf numFmtId="44" fontId="5" fillId="0" borderId="4" xfId="2" applyFont="1" applyBorder="1" applyAlignment="1">
      <alignment horizontal="center"/>
    </xf>
    <xf numFmtId="165" fontId="5" fillId="0" borderId="1" xfId="3" applyNumberFormat="1" applyFont="1" applyBorder="1" applyAlignment="1">
      <alignment horizontal="center"/>
    </xf>
    <xf numFmtId="165" fontId="5" fillId="0" borderId="4" xfId="3" applyNumberFormat="1" applyFont="1" applyBorder="1" applyAlignment="1">
      <alignment horizontal="center"/>
    </xf>
    <xf numFmtId="0" fontId="5" fillId="0" borderId="4" xfId="0" applyFont="1" applyBorder="1"/>
    <xf numFmtId="44" fontId="3" fillId="0" borderId="2" xfId="2" applyFont="1" applyBorder="1" applyAlignment="1">
      <alignment horizontal="center" wrapText="1"/>
    </xf>
    <xf numFmtId="0" fontId="5" fillId="0" borderId="8" xfId="0" applyFont="1" applyBorder="1"/>
    <xf numFmtId="0" fontId="5" fillId="0" borderId="11" xfId="0" applyFont="1" applyBorder="1"/>
    <xf numFmtId="0" fontId="5" fillId="0" borderId="13" xfId="0" applyFont="1" applyBorder="1"/>
    <xf numFmtId="0" fontId="3" fillId="0" borderId="5" xfId="0" applyFont="1" applyBorder="1" applyAlignment="1">
      <alignment horizontal="center" wrapText="1"/>
    </xf>
    <xf numFmtId="44" fontId="3" fillId="0" borderId="6" xfId="2" applyFont="1" applyBorder="1" applyAlignment="1">
      <alignment horizontal="center" wrapText="1"/>
    </xf>
    <xf numFmtId="44" fontId="2" fillId="0" borderId="6" xfId="2" applyFont="1" applyBorder="1" applyAlignment="1">
      <alignment horizontal="center" wrapText="1"/>
    </xf>
    <xf numFmtId="164" fontId="2" fillId="0" borderId="6" xfId="1" applyNumberFormat="1" applyFont="1" applyBorder="1" applyAlignment="1">
      <alignment horizontal="center" wrapText="1"/>
    </xf>
    <xf numFmtId="165" fontId="2" fillId="0" borderId="6" xfId="3" applyNumberFormat="1" applyFont="1" applyBorder="1" applyAlignment="1">
      <alignment horizontal="center" wrapText="1"/>
    </xf>
    <xf numFmtId="44" fontId="0" fillId="0" borderId="0" xfId="2" applyFont="1" applyAlignment="1">
      <alignment horizontal="center"/>
    </xf>
    <xf numFmtId="44" fontId="6" fillId="0" borderId="0" xfId="2" applyFont="1" applyAlignment="1">
      <alignment horizontal="center" wrapText="1"/>
    </xf>
    <xf numFmtId="9" fontId="0" fillId="0" borderId="0" xfId="3" applyFont="1" applyAlignment="1">
      <alignment horizontal="center" wrapText="1"/>
    </xf>
    <xf numFmtId="44" fontId="8" fillId="0" borderId="0" xfId="2" applyFont="1" applyAlignment="1">
      <alignment horizontal="center" vertical="center"/>
    </xf>
    <xf numFmtId="44" fontId="8" fillId="0" borderId="0" xfId="2" applyFont="1" applyAlignment="1">
      <alignment horizontal="center" vertical="center" wrapText="1"/>
    </xf>
    <xf numFmtId="9" fontId="6" fillId="0" borderId="0" xfId="3" applyFont="1" applyAlignment="1">
      <alignment horizontal="center" wrapText="1"/>
    </xf>
    <xf numFmtId="9" fontId="0" fillId="0" borderId="0" xfId="3" applyFont="1" applyAlignment="1">
      <alignment horizontal="center"/>
    </xf>
    <xf numFmtId="9" fontId="3" fillId="0" borderId="1" xfId="3" applyFont="1" applyBorder="1" applyAlignment="1">
      <alignment horizontal="center"/>
    </xf>
    <xf numFmtId="165" fontId="5" fillId="0" borderId="3" xfId="3" applyNumberFormat="1" applyFont="1" applyBorder="1" applyAlignment="1">
      <alignment horizontal="center"/>
    </xf>
    <xf numFmtId="165" fontId="3" fillId="0" borderId="6" xfId="3" applyNumberFormat="1" applyFont="1" applyBorder="1" applyAlignment="1">
      <alignment horizontal="center"/>
    </xf>
    <xf numFmtId="44" fontId="5" fillId="0" borderId="2" xfId="2" applyFont="1" applyBorder="1" applyAlignment="1">
      <alignment horizontal="center"/>
    </xf>
    <xf numFmtId="44" fontId="9" fillId="0" borderId="2" xfId="2" applyFont="1" applyBorder="1" applyAlignment="1">
      <alignment horizontal="center"/>
    </xf>
    <xf numFmtId="44" fontId="3" fillId="0" borderId="2" xfId="2" applyFont="1" applyBorder="1" applyAlignment="1">
      <alignment horizontal="center"/>
    </xf>
    <xf numFmtId="3" fontId="5" fillId="0" borderId="1" xfId="2" applyNumberFormat="1" applyFont="1" applyBorder="1" applyAlignment="1">
      <alignment horizontal="center"/>
    </xf>
    <xf numFmtId="167" fontId="5" fillId="0" borderId="1" xfId="2" applyNumberFormat="1" applyFont="1" applyBorder="1" applyAlignment="1">
      <alignment horizontal="center"/>
    </xf>
    <xf numFmtId="3" fontId="0" fillId="0" borderId="1" xfId="2" applyNumberFormat="1" applyFont="1" applyBorder="1" applyAlignment="1">
      <alignment horizontal="center"/>
    </xf>
    <xf numFmtId="167" fontId="0" fillId="0" borderId="1" xfId="2" applyNumberFormat="1" applyFont="1" applyBorder="1" applyAlignment="1">
      <alignment horizontal="center"/>
    </xf>
    <xf numFmtId="9" fontId="0" fillId="0" borderId="1" xfId="3" applyFont="1" applyBorder="1" applyAlignment="1">
      <alignment horizontal="center"/>
    </xf>
    <xf numFmtId="3" fontId="0" fillId="0" borderId="4" xfId="2" applyNumberFormat="1" applyFont="1" applyBorder="1" applyAlignment="1">
      <alignment horizontal="center"/>
    </xf>
    <xf numFmtId="167" fontId="0" fillId="0" borderId="4" xfId="2" applyNumberFormat="1" applyFont="1" applyBorder="1" applyAlignment="1">
      <alignment horizontal="center"/>
    </xf>
    <xf numFmtId="9" fontId="0" fillId="0" borderId="4" xfId="3" applyFont="1" applyBorder="1" applyAlignment="1">
      <alignment horizontal="center"/>
    </xf>
    <xf numFmtId="44" fontId="9" fillId="0" borderId="1" xfId="2" applyFont="1" applyBorder="1" applyAlignment="1">
      <alignment horizontal="center"/>
    </xf>
    <xf numFmtId="9" fontId="9" fillId="0" borderId="1" xfId="3" applyFont="1" applyBorder="1" applyAlignment="1">
      <alignment horizontal="center"/>
    </xf>
    <xf numFmtId="165" fontId="3" fillId="0" borderId="1" xfId="3" applyNumberFormat="1" applyFont="1" applyBorder="1"/>
    <xf numFmtId="44" fontId="3" fillId="0" borderId="1" xfId="2" applyFont="1" applyBorder="1" applyAlignment="1">
      <alignment horizontal="center"/>
    </xf>
    <xf numFmtId="0" fontId="0" fillId="0" borderId="1" xfId="0" applyBorder="1"/>
    <xf numFmtId="44" fontId="0" fillId="0" borderId="1" xfId="2" applyFont="1" applyBorder="1" applyAlignment="1">
      <alignment horizontal="center"/>
    </xf>
    <xf numFmtId="9" fontId="5" fillId="0" borderId="4" xfId="3" applyFont="1" applyBorder="1" applyAlignment="1">
      <alignment horizontal="center"/>
    </xf>
    <xf numFmtId="3" fontId="5" fillId="0" borderId="4" xfId="2" applyNumberFormat="1" applyFont="1" applyBorder="1" applyAlignment="1">
      <alignment horizontal="center"/>
    </xf>
    <xf numFmtId="167" fontId="5" fillId="0" borderId="4" xfId="2" applyNumberFormat="1" applyFont="1" applyBorder="1" applyAlignment="1">
      <alignment horizontal="center"/>
    </xf>
    <xf numFmtId="167" fontId="5" fillId="0" borderId="9" xfId="2" applyNumberFormat="1" applyFont="1" applyBorder="1" applyAlignment="1">
      <alignment horizontal="center"/>
    </xf>
    <xf numFmtId="167" fontId="5" fillId="0" borderId="12" xfId="2" applyNumberFormat="1" applyFont="1" applyBorder="1" applyAlignment="1">
      <alignment horizontal="center"/>
    </xf>
    <xf numFmtId="9" fontId="3" fillId="0" borderId="6" xfId="3" applyFont="1" applyBorder="1" applyAlignment="1">
      <alignment horizontal="center" wrapText="1"/>
    </xf>
    <xf numFmtId="3" fontId="3" fillId="0" borderId="6" xfId="2" applyNumberFormat="1" applyFont="1" applyBorder="1" applyAlignment="1">
      <alignment horizontal="center" wrapText="1"/>
    </xf>
    <xf numFmtId="167" fontId="3" fillId="0" borderId="6" xfId="2" applyNumberFormat="1" applyFont="1" applyBorder="1" applyAlignment="1">
      <alignment horizontal="center" wrapText="1"/>
    </xf>
    <xf numFmtId="167" fontId="3" fillId="0" borderId="7" xfId="2" applyNumberFormat="1" applyFont="1" applyBorder="1" applyAlignment="1">
      <alignment horizontal="center" wrapText="1"/>
    </xf>
    <xf numFmtId="9" fontId="5" fillId="0" borderId="3" xfId="3" applyFont="1" applyBorder="1" applyAlignment="1">
      <alignment horizontal="center"/>
    </xf>
    <xf numFmtId="3" fontId="5" fillId="0" borderId="3" xfId="2" applyNumberFormat="1" applyFont="1" applyBorder="1" applyAlignment="1">
      <alignment horizontal="center"/>
    </xf>
    <xf numFmtId="167" fontId="5" fillId="0" borderId="3" xfId="2" applyNumberFormat="1" applyFont="1" applyBorder="1" applyAlignment="1">
      <alignment horizontal="center"/>
    </xf>
    <xf numFmtId="167" fontId="5" fillId="0" borderId="10" xfId="2" applyNumberFormat="1" applyFont="1" applyBorder="1" applyAlignment="1">
      <alignment horizontal="center"/>
    </xf>
    <xf numFmtId="167" fontId="0" fillId="0" borderId="12" xfId="2" applyNumberFormat="1" applyFont="1" applyBorder="1" applyAlignment="1">
      <alignment horizontal="center"/>
    </xf>
    <xf numFmtId="0" fontId="3" fillId="0" borderId="5" xfId="0" applyFont="1" applyBorder="1"/>
    <xf numFmtId="166" fontId="3" fillId="0" borderId="6" xfId="3" applyNumberFormat="1" applyFont="1" applyBorder="1" applyAlignment="1">
      <alignment horizontal="center"/>
    </xf>
    <xf numFmtId="165" fontId="3" fillId="0" borderId="6" xfId="3" applyNumberFormat="1" applyFont="1" applyBorder="1"/>
    <xf numFmtId="44" fontId="3" fillId="0" borderId="6" xfId="2" applyFont="1" applyBorder="1" applyAlignment="1">
      <alignment horizontal="center"/>
    </xf>
    <xf numFmtId="9" fontId="3" fillId="0" borderId="6" xfId="3" applyFont="1" applyBorder="1" applyAlignment="1">
      <alignment horizontal="center"/>
    </xf>
    <xf numFmtId="3" fontId="3" fillId="0" borderId="6" xfId="2" applyNumberFormat="1" applyFont="1" applyBorder="1" applyAlignment="1">
      <alignment horizontal="center"/>
    </xf>
    <xf numFmtId="167" fontId="3" fillId="0" borderId="6" xfId="2" applyNumberFormat="1" applyFont="1" applyBorder="1" applyAlignment="1">
      <alignment horizontal="center"/>
    </xf>
    <xf numFmtId="167" fontId="3" fillId="0" borderId="7" xfId="2" applyNumberFormat="1" applyFont="1" applyBorder="1" applyAlignment="1">
      <alignment horizontal="center"/>
    </xf>
    <xf numFmtId="0" fontId="9" fillId="0" borderId="5" xfId="0" applyFont="1" applyBorder="1"/>
    <xf numFmtId="44" fontId="9" fillId="0" borderId="6" xfId="2" applyFont="1" applyBorder="1"/>
    <xf numFmtId="166" fontId="9" fillId="0" borderId="6" xfId="3" applyNumberFormat="1" applyFont="1" applyBorder="1" applyAlignment="1">
      <alignment horizontal="center"/>
    </xf>
    <xf numFmtId="44" fontId="9" fillId="0" borderId="6" xfId="2" applyFont="1" applyBorder="1" applyAlignment="1">
      <alignment horizontal="center"/>
    </xf>
    <xf numFmtId="165" fontId="9" fillId="0" borderId="6" xfId="3" applyNumberFormat="1" applyFont="1" applyBorder="1" applyAlignment="1">
      <alignment horizontal="center"/>
    </xf>
    <xf numFmtId="9" fontId="9" fillId="0" borderId="6" xfId="3" applyFont="1" applyBorder="1" applyAlignment="1">
      <alignment horizontal="center"/>
    </xf>
    <xf numFmtId="3" fontId="9" fillId="0" borderId="6" xfId="2" applyNumberFormat="1" applyFont="1" applyBorder="1" applyAlignment="1">
      <alignment horizontal="center"/>
    </xf>
    <xf numFmtId="167" fontId="9" fillId="0" borderId="6" xfId="2" applyNumberFormat="1" applyFont="1" applyBorder="1" applyAlignment="1">
      <alignment horizontal="center"/>
    </xf>
    <xf numFmtId="167" fontId="9" fillId="0" borderId="7" xfId="2" applyNumberFormat="1" applyFont="1" applyBorder="1" applyAlignment="1">
      <alignment horizontal="center"/>
    </xf>
    <xf numFmtId="167" fontId="3" fillId="0" borderId="1" xfId="2" applyNumberFormat="1" applyFont="1" applyBorder="1"/>
    <xf numFmtId="10" fontId="3" fillId="0" borderId="1" xfId="3" applyNumberFormat="1" applyFont="1" applyBorder="1" applyAlignment="1">
      <alignment horizontal="center"/>
    </xf>
    <xf numFmtId="167" fontId="9" fillId="0" borderId="1" xfId="2" applyNumberFormat="1" applyFont="1" applyBorder="1"/>
    <xf numFmtId="10" fontId="9" fillId="0" borderId="1" xfId="3" applyNumberFormat="1" applyFont="1" applyBorder="1" applyAlignment="1">
      <alignment horizontal="center"/>
    </xf>
    <xf numFmtId="0" fontId="6" fillId="0" borderId="0" xfId="0" applyFont="1"/>
    <xf numFmtId="168" fontId="9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8" fontId="3" fillId="0" borderId="1" xfId="1" applyNumberFormat="1" applyFont="1" applyBorder="1" applyAlignment="1">
      <alignment horizontal="center"/>
    </xf>
    <xf numFmtId="168" fontId="3" fillId="0" borderId="1" xfId="0" applyNumberFormat="1" applyFont="1" applyBorder="1" applyAlignment="1">
      <alignment horizontal="center"/>
    </xf>
    <xf numFmtId="167" fontId="3" fillId="0" borderId="1" xfId="0" applyNumberFormat="1" applyFont="1" applyBorder="1"/>
    <xf numFmtId="168" fontId="3" fillId="0" borderId="1" xfId="0" applyNumberFormat="1" applyFont="1" applyBorder="1"/>
    <xf numFmtId="168" fontId="9" fillId="0" borderId="1" xfId="1" applyNumberFormat="1" applyFont="1" applyBorder="1"/>
    <xf numFmtId="0" fontId="10" fillId="0" borderId="0" xfId="0" applyNumberFormat="1" applyFont="1" applyFill="1" applyBorder="1" applyAlignment="1" applyProtection="1"/>
    <xf numFmtId="0" fontId="11" fillId="2" borderId="0" xfId="0" applyNumberFormat="1" applyFont="1" applyFill="1" applyBorder="1" applyAlignment="1" applyProtection="1"/>
    <xf numFmtId="0" fontId="10" fillId="2" borderId="0" xfId="0" applyNumberFormat="1" applyFont="1" applyFill="1" applyBorder="1" applyAlignment="1" applyProtection="1"/>
    <xf numFmtId="0" fontId="12" fillId="0" borderId="14" xfId="0" applyNumberFormat="1" applyFont="1" applyFill="1" applyBorder="1" applyAlignment="1" applyProtection="1"/>
    <xf numFmtId="0" fontId="10" fillId="0" borderId="15" xfId="0" applyNumberFormat="1" applyFont="1" applyFill="1" applyBorder="1" applyAlignment="1" applyProtection="1"/>
    <xf numFmtId="0" fontId="10" fillId="0" borderId="16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center" wrapText="1"/>
    </xf>
    <xf numFmtId="0" fontId="10" fillId="0" borderId="17" xfId="0" applyNumberFormat="1" applyFont="1" applyFill="1" applyBorder="1" applyAlignment="1" applyProtection="1">
      <alignment horizontal="center" wrapText="1"/>
    </xf>
    <xf numFmtId="0" fontId="13" fillId="0" borderId="18" xfId="0" applyNumberFormat="1" applyFont="1" applyFill="1" applyBorder="1" applyAlignment="1" applyProtection="1">
      <alignment horizontal="center" wrapText="1"/>
    </xf>
    <xf numFmtId="167" fontId="13" fillId="0" borderId="19" xfId="0" applyNumberFormat="1" applyFont="1" applyFill="1" applyBorder="1" applyAlignment="1" applyProtection="1">
      <alignment horizontal="center" wrapText="1"/>
    </xf>
    <xf numFmtId="0" fontId="10" fillId="0" borderId="2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right"/>
    </xf>
    <xf numFmtId="167" fontId="10" fillId="0" borderId="0" xfId="0" applyNumberFormat="1" applyFont="1" applyFill="1" applyBorder="1" applyAlignment="1" applyProtection="1"/>
    <xf numFmtId="167" fontId="10" fillId="0" borderId="21" xfId="0" applyNumberFormat="1" applyFont="1" applyFill="1" applyBorder="1" applyAlignment="1" applyProtection="1"/>
    <xf numFmtId="0" fontId="10" fillId="0" borderId="22" xfId="0" applyNumberFormat="1" applyFont="1" applyFill="1" applyBorder="1" applyAlignment="1" applyProtection="1"/>
    <xf numFmtId="0" fontId="10" fillId="0" borderId="23" xfId="0" applyNumberFormat="1" applyFont="1" applyFill="1" applyBorder="1" applyAlignment="1" applyProtection="1">
      <alignment horizontal="right"/>
    </xf>
    <xf numFmtId="167" fontId="10" fillId="0" borderId="23" xfId="0" applyNumberFormat="1" applyFont="1" applyFill="1" applyBorder="1" applyAlignment="1" applyProtection="1"/>
    <xf numFmtId="167" fontId="10" fillId="0" borderId="24" xfId="0" applyNumberFormat="1" applyFont="1" applyFill="1" applyBorder="1" applyAlignment="1" applyProtection="1"/>
    <xf numFmtId="0" fontId="10" fillId="0" borderId="17" xfId="0" applyNumberFormat="1" applyFont="1" applyFill="1" applyBorder="1" applyAlignment="1" applyProtection="1"/>
    <xf numFmtId="167" fontId="10" fillId="0" borderId="18" xfId="0" applyNumberFormat="1" applyFont="1" applyFill="1" applyBorder="1" applyAlignment="1" applyProtection="1"/>
    <xf numFmtId="3" fontId="10" fillId="0" borderId="0" xfId="0" applyNumberFormat="1" applyFont="1" applyFill="1" applyBorder="1" applyAlignment="1" applyProtection="1">
      <alignment horizontal="center"/>
    </xf>
    <xf numFmtId="167" fontId="10" fillId="0" borderId="25" xfId="0" applyNumberFormat="1" applyFont="1" applyFill="1" applyBorder="1" applyAlignment="1" applyProtection="1"/>
    <xf numFmtId="3" fontId="10" fillId="0" borderId="23" xfId="0" applyNumberFormat="1" applyFont="1" applyFill="1" applyBorder="1" applyAlignment="1" applyProtection="1"/>
    <xf numFmtId="0" fontId="10" fillId="0" borderId="23" xfId="0" applyNumberFormat="1" applyFont="1" applyFill="1" applyBorder="1" applyAlignment="1" applyProtection="1"/>
    <xf numFmtId="0" fontId="13" fillId="0" borderId="17" xfId="0" applyNumberFormat="1" applyFont="1" applyFill="1" applyBorder="1" applyAlignment="1" applyProtection="1"/>
    <xf numFmtId="3" fontId="10" fillId="0" borderId="18" xfId="0" applyNumberFormat="1" applyFont="1" applyFill="1" applyBorder="1" applyAlignment="1" applyProtection="1"/>
    <xf numFmtId="0" fontId="10" fillId="0" borderId="18" xfId="0" applyNumberFormat="1" applyFont="1" applyFill="1" applyBorder="1" applyAlignment="1" applyProtection="1"/>
    <xf numFmtId="167" fontId="10" fillId="0" borderId="19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wrapText="1"/>
    </xf>
    <xf numFmtId="0" fontId="13" fillId="0" borderId="20" xfId="0" applyNumberFormat="1" applyFont="1" applyFill="1" applyBorder="1" applyAlignment="1" applyProtection="1">
      <alignment horizontal="center" wrapText="1"/>
    </xf>
    <xf numFmtId="0" fontId="13" fillId="0" borderId="0" xfId="0" applyNumberFormat="1" applyFont="1" applyFill="1" applyBorder="1" applyAlignment="1" applyProtection="1">
      <alignment horizontal="center" wrapText="1"/>
    </xf>
    <xf numFmtId="0" fontId="13" fillId="0" borderId="21" xfId="0" applyNumberFormat="1" applyFont="1" applyFill="1" applyBorder="1" applyAlignment="1" applyProtection="1">
      <alignment wrapText="1"/>
    </xf>
    <xf numFmtId="167" fontId="10" fillId="0" borderId="0" xfId="0" applyNumberFormat="1" applyFont="1" applyFill="1" applyBorder="1" applyAlignment="1" applyProtection="1">
      <alignment horizontal="center"/>
    </xf>
    <xf numFmtId="0" fontId="10" fillId="0" borderId="21" xfId="0" applyNumberFormat="1" applyFont="1" applyFill="1" applyBorder="1" applyAlignment="1" applyProtection="1"/>
    <xf numFmtId="0" fontId="10" fillId="0" borderId="26" xfId="0" applyNumberFormat="1" applyFont="1" applyFill="1" applyBorder="1" applyAlignment="1" applyProtection="1"/>
    <xf numFmtId="3" fontId="10" fillId="0" borderId="27" xfId="0" applyNumberFormat="1" applyFont="1" applyFill="1" applyBorder="1" applyAlignment="1" applyProtection="1">
      <alignment horizontal="center"/>
    </xf>
    <xf numFmtId="167" fontId="10" fillId="0" borderId="27" xfId="0" applyNumberFormat="1" applyFont="1" applyFill="1" applyBorder="1" applyAlignment="1" applyProtection="1">
      <alignment horizontal="center"/>
    </xf>
    <xf numFmtId="0" fontId="10" fillId="0" borderId="24" xfId="0" applyNumberFormat="1" applyFont="1" applyFill="1" applyBorder="1" applyAlignment="1" applyProtection="1"/>
    <xf numFmtId="3" fontId="10" fillId="2" borderId="0" xfId="0" applyNumberFormat="1" applyFont="1" applyFill="1" applyBorder="1" applyAlignment="1" applyProtection="1"/>
    <xf numFmtId="0" fontId="13" fillId="0" borderId="20" xfId="0" applyNumberFormat="1" applyFont="1" applyFill="1" applyBorder="1" applyAlignment="1" applyProtection="1">
      <alignment wrapText="1"/>
    </xf>
    <xf numFmtId="0" fontId="10" fillId="0" borderId="25" xfId="0" applyNumberFormat="1" applyFont="1" applyFill="1" applyBorder="1" applyAlignment="1" applyProtection="1"/>
    <xf numFmtId="0" fontId="13" fillId="0" borderId="18" xfId="0" applyNumberFormat="1" applyFont="1" applyFill="1" applyBorder="1" applyAlignment="1" applyProtection="1"/>
    <xf numFmtId="167" fontId="13" fillId="0" borderId="18" xfId="0" applyNumberFormat="1" applyFont="1" applyFill="1" applyBorder="1" applyAlignment="1" applyProtection="1"/>
    <xf numFmtId="0" fontId="10" fillId="0" borderId="19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center"/>
    </xf>
    <xf numFmtId="167" fontId="10" fillId="0" borderId="0" xfId="0" applyNumberFormat="1" applyFont="1" applyFill="1" applyBorder="1" applyAlignment="1" applyProtection="1">
      <alignment horizontal="center"/>
    </xf>
    <xf numFmtId="3" fontId="10" fillId="0" borderId="0" xfId="0" applyNumberFormat="1" applyFont="1" applyFill="1" applyBorder="1" applyAlignment="1" applyProtection="1">
      <alignment horizontal="center"/>
    </xf>
    <xf numFmtId="3" fontId="10" fillId="0" borderId="27" xfId="0" applyNumberFormat="1" applyFont="1" applyFill="1" applyBorder="1" applyAlignment="1" applyProtection="1">
      <alignment horizontal="center"/>
    </xf>
    <xf numFmtId="167" fontId="10" fillId="0" borderId="27" xfId="0" applyNumberFormat="1" applyFont="1" applyFill="1" applyBorder="1" applyAlignment="1" applyProtection="1">
      <alignment horizontal="center"/>
    </xf>
    <xf numFmtId="0" fontId="10" fillId="0" borderId="27" xfId="0" applyNumberFormat="1" applyFont="1" applyFill="1" applyBorder="1" applyAlignment="1" applyProtection="1"/>
    <xf numFmtId="3" fontId="10" fillId="0" borderId="23" xfId="0" applyNumberFormat="1" applyFont="1" applyFill="1" applyBorder="1" applyAlignment="1" applyProtection="1">
      <alignment horizontal="center"/>
    </xf>
    <xf numFmtId="167" fontId="10" fillId="0" borderId="23" xfId="0" applyNumberFormat="1" applyFont="1" applyFill="1" applyBorder="1" applyAlignment="1" applyProtection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 xr:uid="{AA5F048F-1017-4FEA-98B4-269A861B66E2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56FA6-2D70-4736-AAFA-CFCE48303E3A}">
  <dimension ref="A1:AW93"/>
  <sheetViews>
    <sheetView tabSelected="1" workbookViewId="0">
      <selection activeCell="D6" sqref="D6"/>
    </sheetView>
  </sheetViews>
  <sheetFormatPr defaultRowHeight="15" x14ac:dyDescent="0.25"/>
  <cols>
    <col min="1" max="1" width="13.42578125" style="11" customWidth="1"/>
    <col min="2" max="2" width="11.5703125" style="12" customWidth="1"/>
    <col min="3" max="3" width="11.28515625" style="12" customWidth="1"/>
    <col min="4" max="4" width="10.7109375" style="12" customWidth="1"/>
    <col min="5" max="5" width="10.7109375" style="12" bestFit="1" customWidth="1"/>
    <col min="6" max="6" width="10.7109375" style="12" customWidth="1"/>
    <col min="7" max="7" width="10.5703125" style="12" bestFit="1" customWidth="1"/>
    <col min="8" max="8" width="9.28515625" style="23" bestFit="1" customWidth="1"/>
    <col min="9" max="9" width="10.5703125" style="12" bestFit="1" customWidth="1"/>
    <col min="10" max="10" width="9.28515625" style="23" bestFit="1" customWidth="1"/>
    <col min="11" max="11" width="10.140625" style="26" customWidth="1"/>
    <col min="12" max="12" width="10" style="60" customWidth="1"/>
    <col min="13" max="13" width="9.140625" style="89"/>
    <col min="14" max="14" width="10.42578125" style="98" bestFit="1" customWidth="1"/>
    <col min="15" max="15" width="13.140625" style="87" customWidth="1"/>
    <col min="16" max="16" width="11.28515625" style="88" customWidth="1"/>
    <col min="17" max="17" width="11.140625" style="88" customWidth="1"/>
    <col min="18" max="18" width="9.42578125" style="89" customWidth="1"/>
    <col min="19" max="19" width="8.42578125" style="89" customWidth="1"/>
    <col min="20" max="20" width="11.42578125" style="88" customWidth="1"/>
    <col min="21" max="21" width="10.42578125" style="98" customWidth="1"/>
    <col min="22" max="22" width="10.42578125" style="12" hidden="1" customWidth="1"/>
    <col min="23" max="23" width="10.7109375" style="12" hidden="1" customWidth="1"/>
    <col min="24" max="24" width="9.42578125" style="12" hidden="1" customWidth="1"/>
    <col min="25" max="25" width="10.85546875" style="12" hidden="1" customWidth="1"/>
    <col min="26" max="26" width="11.140625" style="12" hidden="1" customWidth="1"/>
    <col min="27" max="28" width="9.42578125" style="12" hidden="1" customWidth="1"/>
    <col min="29" max="29" width="10" style="12" hidden="1" customWidth="1"/>
    <col min="30" max="30" width="10.28515625" style="12" hidden="1" customWidth="1"/>
    <col min="31" max="31" width="9.28515625" style="23" hidden="1" customWidth="1"/>
    <col min="32" max="32" width="10.5703125" style="12" hidden="1" customWidth="1"/>
    <col min="33" max="33" width="9.28515625" style="23" hidden="1" customWidth="1"/>
    <col min="34" max="34" width="11.85546875" style="12" hidden="1" customWidth="1"/>
    <col min="35" max="35" width="12.140625" style="23" hidden="1" customWidth="1"/>
    <col min="36" max="36" width="12.5703125" style="12" hidden="1" customWidth="1"/>
    <col min="37" max="37" width="10.85546875" style="12" hidden="1" customWidth="1"/>
    <col min="38" max="38" width="0" style="97" hidden="1" customWidth="1"/>
    <col min="39" max="42" width="9.140625" style="97"/>
    <col min="43" max="43" width="11" style="23" hidden="1" customWidth="1"/>
    <col min="44" max="44" width="10.5703125" style="23" hidden="1" customWidth="1"/>
    <col min="45" max="49" width="9.140625" style="97"/>
    <col min="50" max="16384" width="9.140625" style="11"/>
  </cols>
  <sheetData>
    <row r="1" spans="1:49" s="6" customFormat="1" ht="75" customHeight="1" thickBot="1" x14ac:dyDescent="0.25">
      <c r="A1" s="67" t="s">
        <v>104</v>
      </c>
      <c r="B1" s="68" t="s">
        <v>136</v>
      </c>
      <c r="C1" s="68" t="s">
        <v>149</v>
      </c>
      <c r="D1" s="68" t="s">
        <v>188</v>
      </c>
      <c r="E1" s="68" t="s">
        <v>118</v>
      </c>
      <c r="F1" s="68" t="s">
        <v>189</v>
      </c>
      <c r="G1" s="69" t="s">
        <v>131</v>
      </c>
      <c r="H1" s="70" t="s">
        <v>145</v>
      </c>
      <c r="I1" s="69" t="s">
        <v>129</v>
      </c>
      <c r="J1" s="71" t="s">
        <v>143</v>
      </c>
      <c r="K1" s="69" t="s">
        <v>190</v>
      </c>
      <c r="L1" s="71" t="s">
        <v>191</v>
      </c>
      <c r="M1" s="104" t="s">
        <v>141</v>
      </c>
      <c r="N1" s="68" t="s">
        <v>108</v>
      </c>
      <c r="O1" s="105" t="s">
        <v>113</v>
      </c>
      <c r="P1" s="106" t="s">
        <v>193</v>
      </c>
      <c r="Q1" s="106" t="s">
        <v>140</v>
      </c>
      <c r="R1" s="104" t="s">
        <v>137</v>
      </c>
      <c r="S1" s="104" t="s">
        <v>138</v>
      </c>
      <c r="T1" s="107" t="s">
        <v>194</v>
      </c>
      <c r="U1" s="63"/>
      <c r="V1" s="7" t="s">
        <v>114</v>
      </c>
      <c r="W1" s="7" t="s">
        <v>115</v>
      </c>
      <c r="X1" s="7" t="s">
        <v>116</v>
      </c>
      <c r="Y1" s="7" t="s">
        <v>117</v>
      </c>
      <c r="Z1" s="7" t="s">
        <v>119</v>
      </c>
      <c r="AA1" s="7" t="s">
        <v>120</v>
      </c>
      <c r="AB1" s="7" t="s">
        <v>121</v>
      </c>
      <c r="AC1" s="7" t="s">
        <v>122</v>
      </c>
      <c r="AD1" s="4" t="s">
        <v>130</v>
      </c>
      <c r="AE1" s="2" t="s">
        <v>144</v>
      </c>
      <c r="AF1" s="4" t="s">
        <v>132</v>
      </c>
      <c r="AG1" s="2" t="s">
        <v>146</v>
      </c>
      <c r="AH1" s="4" t="s">
        <v>133</v>
      </c>
      <c r="AI1" s="2" t="s">
        <v>147</v>
      </c>
      <c r="AJ1" s="4" t="s">
        <v>134</v>
      </c>
      <c r="AK1" s="4" t="s">
        <v>135</v>
      </c>
      <c r="AL1" s="6" t="s">
        <v>139</v>
      </c>
      <c r="AQ1" s="6" t="s">
        <v>110</v>
      </c>
      <c r="AR1" s="6" t="s">
        <v>111</v>
      </c>
    </row>
    <row r="2" spans="1:49" ht="12.75" x14ac:dyDescent="0.2">
      <c r="A2" s="65" t="s">
        <v>0</v>
      </c>
      <c r="B2" s="44">
        <v>80.318001999999993</v>
      </c>
      <c r="C2" s="44">
        <f>D2+E2</f>
        <v>77.677981000000003</v>
      </c>
      <c r="D2" s="44">
        <f t="shared" ref="D2:D18" si="0">V2+W2</f>
        <v>72.423248999999998</v>
      </c>
      <c r="E2" s="44">
        <v>5.2547319999999997</v>
      </c>
      <c r="F2" s="44">
        <f t="shared" ref="F2:F18" si="1">SUM(X2:AC2)</f>
        <v>0.16602700000000001</v>
      </c>
      <c r="G2" s="44">
        <v>0.1241</v>
      </c>
      <c r="H2" s="54">
        <v>1.597621338793551E-3</v>
      </c>
      <c r="I2" s="44">
        <v>0</v>
      </c>
      <c r="J2" s="54">
        <v>0</v>
      </c>
      <c r="K2" s="59">
        <f>AD2+AF2+AH2</f>
        <v>77.55388099999999</v>
      </c>
      <c r="L2" s="61">
        <f>AE2+AG2+AI2</f>
        <v>0.99840237866120651</v>
      </c>
      <c r="M2" s="99">
        <v>4.84662364502121E-2</v>
      </c>
      <c r="N2" s="59">
        <v>375.98066321072986</v>
      </c>
      <c r="O2" s="100">
        <v>598300</v>
      </c>
      <c r="P2" s="101">
        <f>AL2/1000000</f>
        <v>22017.439999999999</v>
      </c>
      <c r="Q2" s="101">
        <v>36800</v>
      </c>
      <c r="R2" s="99">
        <v>0.13300000000000001</v>
      </c>
      <c r="S2" s="99">
        <v>0.10299999999999999</v>
      </c>
      <c r="T2" s="103">
        <v>735.21301231391283</v>
      </c>
      <c r="U2" s="82"/>
      <c r="V2" s="12">
        <v>4.0002940000000002</v>
      </c>
      <c r="W2" s="12">
        <v>68.422955000000002</v>
      </c>
      <c r="X2" s="12">
        <v>0</v>
      </c>
      <c r="Y2" s="12">
        <v>0</v>
      </c>
      <c r="Z2" s="12">
        <v>0.16602700000000001</v>
      </c>
      <c r="AA2" s="12">
        <v>0</v>
      </c>
      <c r="AB2" s="12">
        <v>0</v>
      </c>
      <c r="AC2" s="12">
        <v>0</v>
      </c>
      <c r="AD2" s="12">
        <v>4.0002940000000002</v>
      </c>
      <c r="AE2" s="13">
        <v>5.149842913656575E-2</v>
      </c>
      <c r="AF2" s="12">
        <v>73.553586999999993</v>
      </c>
      <c r="AG2" s="13">
        <v>0.94690394952464074</v>
      </c>
      <c r="AH2" s="12">
        <v>0</v>
      </c>
      <c r="AI2" s="13">
        <v>0</v>
      </c>
      <c r="AJ2" s="12">
        <v>77.677980999999988</v>
      </c>
      <c r="AK2" s="12">
        <f>('3-Fiscal Support for HE'!C2/1000000)-AJ2</f>
        <v>2.6400210000000186</v>
      </c>
      <c r="AL2" s="11">
        <v>22017440000</v>
      </c>
      <c r="AM2" s="11"/>
      <c r="AN2" s="11"/>
      <c r="AO2" s="11"/>
      <c r="AP2" s="11"/>
      <c r="AQ2" s="16">
        <v>4903185</v>
      </c>
      <c r="AR2" s="16">
        <v>450224</v>
      </c>
      <c r="AS2" s="11"/>
      <c r="AT2" s="11"/>
      <c r="AU2" s="11"/>
      <c r="AV2" s="11"/>
      <c r="AW2" s="11"/>
    </row>
    <row r="3" spans="1:49" ht="12.75" x14ac:dyDescent="0.2">
      <c r="A3" s="64" t="s">
        <v>3</v>
      </c>
      <c r="B3" s="12">
        <v>115.49813200000001</v>
      </c>
      <c r="C3" s="12">
        <f t="shared" ref="C3:C57" si="2">D3+E3</f>
        <v>108.92779700000001</v>
      </c>
      <c r="D3" s="12">
        <f t="shared" si="0"/>
        <v>1.9511579999999999</v>
      </c>
      <c r="E3" s="12">
        <v>106.97663900000001</v>
      </c>
      <c r="F3" s="12">
        <f t="shared" si="1"/>
        <v>1.8178639999999999</v>
      </c>
      <c r="G3" s="12">
        <v>105.40854899999999</v>
      </c>
      <c r="H3" s="13">
        <v>0.95236638838892451</v>
      </c>
      <c r="I3" s="12">
        <v>1.7761579999999999</v>
      </c>
      <c r="J3" s="13">
        <v>1.6047590026764293E-2</v>
      </c>
      <c r="K3" s="26">
        <f t="shared" ref="K3:L57" si="3">AD3+AF3+AH3</f>
        <v>3.495962</v>
      </c>
      <c r="L3" s="60">
        <f t="shared" ref="L3:L17" si="4">AE3+AG3+AI3</f>
        <v>3.1586021584311168E-2</v>
      </c>
      <c r="M3" s="19">
        <v>0.11590472473121459</v>
      </c>
      <c r="N3" s="26">
        <v>971.72803018814079</v>
      </c>
      <c r="O3" s="85">
        <v>365500</v>
      </c>
      <c r="P3" s="86">
        <f t="shared" ref="P3:P57" si="5">AL3/1000000</f>
        <v>11659.45</v>
      </c>
      <c r="Q3" s="86">
        <v>31900</v>
      </c>
      <c r="R3" s="19">
        <v>0.129</v>
      </c>
      <c r="S3" s="19">
        <v>9.7000000000000003E-2</v>
      </c>
      <c r="T3" s="102">
        <v>360.4216720779221</v>
      </c>
      <c r="U3" s="82"/>
      <c r="V3" s="12">
        <v>1.7761579999999999</v>
      </c>
      <c r="W3" s="12">
        <v>0.17499999999999999</v>
      </c>
      <c r="X3" s="12">
        <v>0</v>
      </c>
      <c r="Y3" s="12">
        <v>6.4991999999999994E-2</v>
      </c>
      <c r="Z3" s="12">
        <v>0</v>
      </c>
      <c r="AA3" s="12">
        <v>0</v>
      </c>
      <c r="AB3" s="12">
        <v>1.752872</v>
      </c>
      <c r="AC3" s="12">
        <v>0</v>
      </c>
      <c r="AD3" s="12">
        <v>0</v>
      </c>
      <c r="AE3" s="13">
        <v>0</v>
      </c>
      <c r="AF3" s="12">
        <v>3.4009619999999998</v>
      </c>
      <c r="AG3" s="13">
        <v>3.0727696450768654E-2</v>
      </c>
      <c r="AH3" s="12">
        <v>9.5000000000000001E-2</v>
      </c>
      <c r="AI3" s="13">
        <v>8.5832513354251597E-4</v>
      </c>
      <c r="AJ3" s="12">
        <v>110.68066899999999</v>
      </c>
      <c r="AK3" s="12">
        <f>('3-Fiscal Support for HE'!C3/1000000)-AJ3</f>
        <v>4.8174630000000178</v>
      </c>
      <c r="AL3" s="11">
        <v>11659450000</v>
      </c>
      <c r="AM3" s="11"/>
      <c r="AN3" s="11"/>
      <c r="AO3" s="11"/>
      <c r="AP3" s="11"/>
      <c r="AQ3" s="16">
        <v>3017804</v>
      </c>
      <c r="AR3" s="16">
        <v>279060</v>
      </c>
      <c r="AS3" s="11"/>
      <c r="AT3" s="11"/>
      <c r="AU3" s="11"/>
      <c r="AV3" s="11"/>
      <c r="AW3" s="11"/>
    </row>
    <row r="4" spans="1:49" ht="12.75" x14ac:dyDescent="0.2">
      <c r="A4" s="64" t="s">
        <v>7</v>
      </c>
      <c r="B4" s="12">
        <v>24.22373</v>
      </c>
      <c r="C4" s="12">
        <f t="shared" si="2"/>
        <v>16.980705</v>
      </c>
      <c r="D4" s="12">
        <f t="shared" si="0"/>
        <v>11.955299</v>
      </c>
      <c r="E4" s="12">
        <v>5.0254060000000003</v>
      </c>
      <c r="F4" s="12">
        <f t="shared" si="1"/>
        <v>0.43378100000000003</v>
      </c>
      <c r="G4" s="12">
        <v>4.4554010000000002</v>
      </c>
      <c r="H4" s="13">
        <v>0.26016299043608976</v>
      </c>
      <c r="I4" s="12">
        <v>11.243016000000001</v>
      </c>
      <c r="J4" s="13">
        <v>0.6565103038044845</v>
      </c>
      <c r="K4" s="26">
        <f t="shared" si="3"/>
        <v>1.4270049999999999</v>
      </c>
      <c r="L4" s="60">
        <f t="shared" si="4"/>
        <v>8.3326705759425967E-2</v>
      </c>
      <c r="M4" s="19">
        <v>0.1020187934997671</v>
      </c>
      <c r="N4" s="26">
        <v>425.31509079524108</v>
      </c>
      <c r="O4" s="85">
        <v>131100</v>
      </c>
      <c r="P4" s="86">
        <f t="shared" si="5"/>
        <v>4758.93</v>
      </c>
      <c r="Q4" s="86">
        <v>36300</v>
      </c>
      <c r="R4" s="19">
        <v>9.4E-2</v>
      </c>
      <c r="S4" s="19">
        <v>8.5000000000000006E-2</v>
      </c>
      <c r="T4" s="102">
        <v>996.64153275648948</v>
      </c>
      <c r="U4" s="82"/>
      <c r="V4" s="12">
        <v>0.712283</v>
      </c>
      <c r="W4" s="12">
        <v>11.243016000000001</v>
      </c>
      <c r="X4" s="12">
        <v>0</v>
      </c>
      <c r="Y4" s="12">
        <v>0</v>
      </c>
      <c r="Z4" s="12">
        <v>0.43378100000000003</v>
      </c>
      <c r="AA4" s="12">
        <v>0</v>
      </c>
      <c r="AB4" s="12">
        <v>0</v>
      </c>
      <c r="AC4" s="12">
        <v>0</v>
      </c>
      <c r="AD4" s="12">
        <v>0.712283</v>
      </c>
      <c r="AE4" s="13">
        <v>4.1592142955659731E-2</v>
      </c>
      <c r="AF4" s="12">
        <v>0.71472199999999997</v>
      </c>
      <c r="AG4" s="13">
        <v>4.1734562803766244E-2</v>
      </c>
      <c r="AH4" s="12">
        <v>0</v>
      </c>
      <c r="AI4" s="13">
        <v>0</v>
      </c>
      <c r="AJ4" s="12">
        <v>17.125421999999997</v>
      </c>
      <c r="AK4" s="12">
        <f>('3-Fiscal Support for HE'!C4/1000000)-AJ4</f>
        <v>7.0983080000000029</v>
      </c>
      <c r="AL4" s="11">
        <v>4758930000</v>
      </c>
      <c r="AM4" s="11"/>
      <c r="AN4" s="11"/>
      <c r="AO4" s="11"/>
      <c r="AP4" s="11"/>
      <c r="AQ4" s="16">
        <v>973764</v>
      </c>
      <c r="AR4" s="16">
        <v>82494</v>
      </c>
      <c r="AS4" s="11"/>
      <c r="AT4" s="11"/>
      <c r="AU4" s="11"/>
      <c r="AV4" s="11"/>
      <c r="AW4" s="11"/>
    </row>
    <row r="5" spans="1:49" ht="12.75" x14ac:dyDescent="0.2">
      <c r="A5" s="64" t="s">
        <v>8</v>
      </c>
      <c r="B5" s="12">
        <v>1009.81839</v>
      </c>
      <c r="C5" s="12">
        <f t="shared" si="2"/>
        <v>855.32523800000001</v>
      </c>
      <c r="D5" s="12">
        <f t="shared" si="0"/>
        <v>286.26697999999999</v>
      </c>
      <c r="E5" s="12">
        <v>569.05825800000002</v>
      </c>
      <c r="F5" s="12">
        <f t="shared" si="1"/>
        <v>144.49315200000001</v>
      </c>
      <c r="G5" s="12">
        <v>544.40725799999996</v>
      </c>
      <c r="H5" s="13">
        <v>0.54450614576113165</v>
      </c>
      <c r="I5" s="12">
        <v>270.17495400000001</v>
      </c>
      <c r="J5" s="13">
        <v>0.27022402938597684</v>
      </c>
      <c r="K5" s="26">
        <f t="shared" si="3"/>
        <v>185.236178</v>
      </c>
      <c r="L5" s="60">
        <f t="shared" si="4"/>
        <v>0.18594876654549233</v>
      </c>
      <c r="M5" s="19">
        <v>0.18883819720556633</v>
      </c>
      <c r="N5" s="26">
        <v>1154.814946129128</v>
      </c>
      <c r="O5" s="85">
        <v>2594500</v>
      </c>
      <c r="P5" s="86">
        <f t="shared" si="5"/>
        <v>98331.55</v>
      </c>
      <c r="Q5" s="86">
        <v>37900</v>
      </c>
      <c r="R5" s="19">
        <v>0.11600000000000001</v>
      </c>
      <c r="S5" s="19">
        <v>9.1999999999999998E-2</v>
      </c>
      <c r="T5" s="102">
        <v>1466.9320398417246</v>
      </c>
      <c r="U5" s="82"/>
      <c r="V5" s="12">
        <v>268.77862299999998</v>
      </c>
      <c r="W5" s="12">
        <v>17.488357000000001</v>
      </c>
      <c r="X5" s="12">
        <v>0</v>
      </c>
      <c r="Y5" s="12">
        <v>0</v>
      </c>
      <c r="Z5" s="12">
        <v>0</v>
      </c>
      <c r="AA5" s="12">
        <v>1.396331</v>
      </c>
      <c r="AB5" s="12">
        <v>0</v>
      </c>
      <c r="AC5" s="12">
        <v>143.09682100000001</v>
      </c>
      <c r="AD5" s="12">
        <v>0.32100000000000001</v>
      </c>
      <c r="AE5" s="13">
        <v>1E-3</v>
      </c>
      <c r="AF5" s="12">
        <v>184.915178</v>
      </c>
      <c r="AG5" s="13">
        <v>0.18494876654549233</v>
      </c>
      <c r="AH5" s="12">
        <v>0</v>
      </c>
      <c r="AI5" s="13">
        <v>0</v>
      </c>
      <c r="AJ5" s="12">
        <v>999.81838999999991</v>
      </c>
      <c r="AK5" s="12">
        <f>('3-Fiscal Support for HE'!C5/1000000)-AJ5</f>
        <v>10.000000000000114</v>
      </c>
      <c r="AL5" s="11">
        <v>98331550000</v>
      </c>
      <c r="AM5" s="11"/>
      <c r="AN5" s="11"/>
      <c r="AO5" s="11"/>
      <c r="AP5" s="11"/>
      <c r="AQ5" s="16">
        <v>21477737</v>
      </c>
      <c r="AR5" s="16">
        <v>1742768</v>
      </c>
      <c r="AS5" s="11"/>
      <c r="AT5" s="11"/>
      <c r="AU5" s="11"/>
      <c r="AV5" s="11"/>
      <c r="AW5" s="11"/>
    </row>
    <row r="6" spans="1:49" ht="12.75" x14ac:dyDescent="0.2">
      <c r="A6" s="64" t="s">
        <v>9</v>
      </c>
      <c r="B6" s="12">
        <v>888.44184800000005</v>
      </c>
      <c r="C6" s="12">
        <f t="shared" si="2"/>
        <v>855.488518</v>
      </c>
      <c r="D6" s="12">
        <f t="shared" si="0"/>
        <v>0</v>
      </c>
      <c r="E6" s="12">
        <v>855.488518</v>
      </c>
      <c r="F6" s="12">
        <f t="shared" si="1"/>
        <v>32.680285999999995</v>
      </c>
      <c r="G6" s="12">
        <v>668.84864300000004</v>
      </c>
      <c r="H6" s="13">
        <v>0.75368298499092823</v>
      </c>
      <c r="I6" s="12">
        <v>0</v>
      </c>
      <c r="J6" s="13">
        <v>0</v>
      </c>
      <c r="K6" s="26">
        <f t="shared" si="3"/>
        <v>218.59164200000001</v>
      </c>
      <c r="L6" s="60">
        <f t="shared" si="4"/>
        <v>0.24631701500907185</v>
      </c>
      <c r="M6" s="19">
        <v>0.24435704780058734</v>
      </c>
      <c r="N6" s="26">
        <v>2367.7213883807117</v>
      </c>
      <c r="O6" s="85">
        <v>1590000</v>
      </c>
      <c r="P6" s="86">
        <f t="shared" si="5"/>
        <v>65349</v>
      </c>
      <c r="Q6" s="86">
        <v>41100</v>
      </c>
      <c r="R6" s="19">
        <v>0.125</v>
      </c>
      <c r="S6" s="19">
        <v>9.9000000000000005E-2</v>
      </c>
      <c r="T6" s="102">
        <v>0</v>
      </c>
      <c r="U6" s="82"/>
      <c r="V6" s="12">
        <v>0</v>
      </c>
      <c r="W6" s="12">
        <v>0</v>
      </c>
      <c r="X6" s="12">
        <v>28.768326999999999</v>
      </c>
      <c r="Y6" s="12">
        <v>0</v>
      </c>
      <c r="Z6" s="12">
        <v>3.4902920000000002</v>
      </c>
      <c r="AA6" s="12">
        <v>0</v>
      </c>
      <c r="AB6" s="12">
        <v>0</v>
      </c>
      <c r="AC6" s="12">
        <v>0.42166700000000001</v>
      </c>
      <c r="AD6" s="12">
        <v>0</v>
      </c>
      <c r="AE6" s="13">
        <v>0</v>
      </c>
      <c r="AF6" s="12">
        <v>218.59164200000001</v>
      </c>
      <c r="AG6" s="13">
        <v>0.24631701500907185</v>
      </c>
      <c r="AH6" s="12">
        <v>0</v>
      </c>
      <c r="AI6" s="13">
        <v>0</v>
      </c>
      <c r="AJ6" s="12">
        <v>887.44028500000002</v>
      </c>
      <c r="AK6" s="12">
        <f>('3-Fiscal Support for HE'!C6/1000000)-AJ6</f>
        <v>1.0015630000000328</v>
      </c>
      <c r="AL6" s="11">
        <v>65349000000</v>
      </c>
      <c r="AM6" s="11"/>
      <c r="AN6" s="11"/>
      <c r="AO6" s="11"/>
      <c r="AP6" s="11"/>
      <c r="AQ6" s="16">
        <v>10617423</v>
      </c>
      <c r="AR6" s="16">
        <v>1015188</v>
      </c>
      <c r="AS6" s="11"/>
      <c r="AT6" s="11"/>
      <c r="AU6" s="11"/>
      <c r="AV6" s="11"/>
      <c r="AW6" s="11"/>
    </row>
    <row r="7" spans="1:49" ht="12.75" x14ac:dyDescent="0.2">
      <c r="A7" s="64" t="s">
        <v>16</v>
      </c>
      <c r="B7" s="12">
        <v>258.15683000000001</v>
      </c>
      <c r="C7" s="12">
        <f t="shared" si="2"/>
        <v>256.74000599999999</v>
      </c>
      <c r="D7" s="12">
        <f t="shared" si="0"/>
        <v>116.80353400000001</v>
      </c>
      <c r="E7" s="12">
        <v>139.93647200000001</v>
      </c>
      <c r="F7" s="12">
        <f t="shared" si="1"/>
        <v>1.4168240000000001</v>
      </c>
      <c r="G7" s="12">
        <v>117.832852</v>
      </c>
      <c r="H7" s="13">
        <v>0.45816407131342662</v>
      </c>
      <c r="I7" s="12">
        <v>83.217768000000007</v>
      </c>
      <c r="J7" s="13">
        <v>0.32357182861445288</v>
      </c>
      <c r="K7" s="26">
        <f t="shared" si="3"/>
        <v>56.134217</v>
      </c>
      <c r="L7" s="60">
        <f t="shared" si="4"/>
        <v>0.21826410007212049</v>
      </c>
      <c r="M7" s="19">
        <v>0.22546534676639807</v>
      </c>
      <c r="N7" s="26">
        <v>1572.872670464988</v>
      </c>
      <c r="O7" s="85">
        <v>581700</v>
      </c>
      <c r="P7" s="86">
        <f t="shared" si="5"/>
        <v>19079.759999999998</v>
      </c>
      <c r="Q7" s="86">
        <v>32800</v>
      </c>
      <c r="R7" s="19">
        <v>0.13200000000000001</v>
      </c>
      <c r="S7" s="19">
        <v>0.106</v>
      </c>
      <c r="T7" s="102">
        <v>1491.0906289195484</v>
      </c>
      <c r="U7" s="82"/>
      <c r="V7" s="12">
        <v>83.217768000000007</v>
      </c>
      <c r="W7" s="12">
        <v>33.585766</v>
      </c>
      <c r="X7" s="12">
        <v>0</v>
      </c>
      <c r="Y7" s="12">
        <v>0</v>
      </c>
      <c r="Z7" s="12">
        <v>1.4168240000000001</v>
      </c>
      <c r="AA7" s="12">
        <v>0</v>
      </c>
      <c r="AB7" s="12">
        <v>0</v>
      </c>
      <c r="AC7" s="12">
        <v>0</v>
      </c>
      <c r="AD7" s="12">
        <v>0</v>
      </c>
      <c r="AE7" s="13">
        <v>0</v>
      </c>
      <c r="AF7" s="12">
        <v>49.536347999999997</v>
      </c>
      <c r="AG7" s="13">
        <v>0.19260990880267173</v>
      </c>
      <c r="AH7" s="12">
        <v>6.5978690000000002</v>
      </c>
      <c r="AI7" s="13">
        <v>2.5654191269448751E-2</v>
      </c>
      <c r="AJ7" s="12">
        <v>257.18483700000002</v>
      </c>
      <c r="AK7" s="12">
        <f>('3-Fiscal Support for HE'!C7/1000000)-AJ7</f>
        <v>0.97199299999999766</v>
      </c>
      <c r="AL7" s="11">
        <v>19079760000</v>
      </c>
      <c r="AM7" s="11"/>
      <c r="AN7" s="11"/>
      <c r="AO7" s="11"/>
      <c r="AP7" s="11"/>
      <c r="AQ7" s="16">
        <v>4467673</v>
      </c>
      <c r="AR7" s="16">
        <v>413954</v>
      </c>
      <c r="AS7" s="11"/>
      <c r="AT7" s="11"/>
      <c r="AU7" s="11"/>
      <c r="AV7" s="11"/>
      <c r="AW7" s="11"/>
    </row>
    <row r="8" spans="1:49" ht="12.75" x14ac:dyDescent="0.2">
      <c r="A8" s="64" t="s">
        <v>17</v>
      </c>
      <c r="B8" s="12">
        <v>331.80954600000001</v>
      </c>
      <c r="C8" s="12">
        <f t="shared" si="2"/>
        <v>329.74777700000004</v>
      </c>
      <c r="D8" s="12">
        <f t="shared" si="0"/>
        <v>28.413083</v>
      </c>
      <c r="E8" s="12">
        <v>301.33469400000001</v>
      </c>
      <c r="F8" s="12">
        <f t="shared" si="1"/>
        <v>0.31680000000000003</v>
      </c>
      <c r="G8" s="12">
        <v>300.72608700000001</v>
      </c>
      <c r="H8" s="13">
        <v>0.91198821637545102</v>
      </c>
      <c r="I8" s="12">
        <v>28.413083</v>
      </c>
      <c r="J8" s="13">
        <v>8.6166109316940132E-2</v>
      </c>
      <c r="K8" s="26">
        <f t="shared" si="3"/>
        <v>0.60860700000000001</v>
      </c>
      <c r="L8" s="60">
        <f t="shared" si="4"/>
        <v>1.8456743076087515E-3</v>
      </c>
      <c r="M8" s="19">
        <v>0.28187671827025351</v>
      </c>
      <c r="N8" s="26">
        <v>1892.6656316006984</v>
      </c>
      <c r="O8" s="85">
        <v>625400</v>
      </c>
      <c r="P8" s="86">
        <f t="shared" si="5"/>
        <v>21701.38</v>
      </c>
      <c r="Q8" s="86">
        <v>34700</v>
      </c>
      <c r="R8" s="19">
        <v>0.129</v>
      </c>
      <c r="S8" s="19">
        <v>0.10299999999999999</v>
      </c>
      <c r="T8" s="102">
        <v>1116.7347797036514</v>
      </c>
      <c r="U8" s="82"/>
      <c r="V8" s="12">
        <v>28.413083</v>
      </c>
      <c r="W8" s="12">
        <v>0</v>
      </c>
      <c r="X8" s="12">
        <v>0</v>
      </c>
      <c r="Y8" s="12">
        <v>0.31680000000000003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3">
        <v>0</v>
      </c>
      <c r="AF8" s="12">
        <v>0.58555000000000001</v>
      </c>
      <c r="AG8" s="13">
        <v>1.7757511675355433E-3</v>
      </c>
      <c r="AH8" s="12">
        <v>2.3057000000000001E-2</v>
      </c>
      <c r="AI8" s="13">
        <v>6.9923140073208134E-5</v>
      </c>
      <c r="AJ8" s="12">
        <v>329.74777700000004</v>
      </c>
      <c r="AK8" s="12">
        <f>('3-Fiscal Support for HE'!C8/1000000)-AJ8</f>
        <v>2.0617689999999698</v>
      </c>
      <c r="AL8" s="11">
        <v>21701380000</v>
      </c>
      <c r="AM8" s="11"/>
      <c r="AN8" s="11"/>
      <c r="AO8" s="11"/>
      <c r="AP8" s="11"/>
      <c r="AQ8" s="16">
        <v>4648794</v>
      </c>
      <c r="AR8" s="16">
        <v>419043</v>
      </c>
      <c r="AS8" s="11"/>
      <c r="AT8" s="11"/>
      <c r="AU8" s="11"/>
      <c r="AV8" s="11"/>
      <c r="AW8" s="11"/>
    </row>
    <row r="9" spans="1:49" ht="13.5" thickBot="1" x14ac:dyDescent="0.25">
      <c r="A9" s="66" t="s">
        <v>19</v>
      </c>
      <c r="B9" s="43">
        <v>108.22295000000001</v>
      </c>
      <c r="C9" s="43">
        <f t="shared" si="2"/>
        <v>98.625411999999997</v>
      </c>
      <c r="D9" s="43">
        <f t="shared" si="0"/>
        <v>97.952156000000002</v>
      </c>
      <c r="E9" s="43">
        <v>0.67325599999999997</v>
      </c>
      <c r="F9" s="43">
        <f t="shared" si="1"/>
        <v>2.107364</v>
      </c>
      <c r="G9" s="43">
        <v>0</v>
      </c>
      <c r="H9" s="53">
        <v>0</v>
      </c>
      <c r="I9" s="43">
        <v>85.655180999999999</v>
      </c>
      <c r="J9" s="53">
        <v>0.86792675388520912</v>
      </c>
      <c r="K9" s="58">
        <f t="shared" si="3"/>
        <v>13.034231</v>
      </c>
      <c r="L9" s="80">
        <f t="shared" si="4"/>
        <v>0.13207324611479093</v>
      </c>
      <c r="M9" s="108">
        <v>5.2323515489903757E-2</v>
      </c>
      <c r="N9" s="58">
        <v>477.31827861235865</v>
      </c>
      <c r="O9" s="109">
        <v>872600</v>
      </c>
      <c r="P9" s="110">
        <f t="shared" si="5"/>
        <v>37085.5</v>
      </c>
      <c r="Q9" s="110">
        <v>42500</v>
      </c>
      <c r="R9" s="108">
        <v>9.5000000000000001E-2</v>
      </c>
      <c r="S9" s="108">
        <v>7.8E-2</v>
      </c>
      <c r="T9" s="111">
        <v>3171.6643342820998</v>
      </c>
      <c r="U9" s="82"/>
      <c r="V9" s="12">
        <v>80.230421000000007</v>
      </c>
      <c r="W9" s="12">
        <v>17.721734999999999</v>
      </c>
      <c r="X9" s="12">
        <v>0</v>
      </c>
      <c r="Y9" s="12">
        <v>2.043364</v>
      </c>
      <c r="Z9" s="12">
        <v>6.4000000000000001E-2</v>
      </c>
      <c r="AA9" s="12">
        <v>0</v>
      </c>
      <c r="AB9" s="12">
        <v>0</v>
      </c>
      <c r="AC9" s="12">
        <v>0</v>
      </c>
      <c r="AD9" s="12">
        <v>11.395201999999999</v>
      </c>
      <c r="AE9" s="13">
        <v>0.11546529429114442</v>
      </c>
      <c r="AF9" s="12">
        <v>1.6390290000000001</v>
      </c>
      <c r="AG9" s="13">
        <v>1.6607951823646494E-2</v>
      </c>
      <c r="AH9" s="12">
        <v>0</v>
      </c>
      <c r="AI9" s="13">
        <v>0</v>
      </c>
      <c r="AJ9" s="12">
        <v>98.68941199999999</v>
      </c>
      <c r="AK9" s="12">
        <f>('3-Fiscal Support for HE'!C9/1000000)-AJ9</f>
        <v>9.5335380000000214</v>
      </c>
      <c r="AL9" s="11">
        <v>37085500000</v>
      </c>
      <c r="AM9" s="11"/>
      <c r="AN9" s="11"/>
      <c r="AO9" s="11"/>
      <c r="AP9" s="11"/>
      <c r="AQ9" s="16">
        <v>6045680</v>
      </c>
      <c r="AR9" s="16">
        <v>526149</v>
      </c>
      <c r="AS9" s="11"/>
      <c r="AT9" s="11"/>
      <c r="AU9" s="11"/>
      <c r="AV9" s="11"/>
      <c r="AW9" s="11"/>
    </row>
    <row r="10" spans="1:49" s="47" customFormat="1" ht="13.5" thickBot="1" x14ac:dyDescent="0.25">
      <c r="A10" s="121" t="s">
        <v>23</v>
      </c>
      <c r="B10" s="122">
        <v>42.162495000000007</v>
      </c>
      <c r="C10" s="122">
        <f>D10+E10</f>
        <v>41.398954000000003</v>
      </c>
      <c r="D10" s="122">
        <f t="shared" si="0"/>
        <v>23.921182000000002</v>
      </c>
      <c r="E10" s="122">
        <v>17.477772000000002</v>
      </c>
      <c r="F10" s="122">
        <f t="shared" si="1"/>
        <v>0.76354100000000003</v>
      </c>
      <c r="G10" s="122">
        <v>17.359995999999999</v>
      </c>
      <c r="H10" s="123">
        <v>0.41844151230003807</v>
      </c>
      <c r="I10" s="122">
        <v>0</v>
      </c>
      <c r="J10" s="123">
        <v>0</v>
      </c>
      <c r="K10" s="124">
        <f t="shared" si="3"/>
        <v>24.127274000000003</v>
      </c>
      <c r="L10" s="125">
        <f t="shared" si="4"/>
        <v>0.5815584876999621</v>
      </c>
      <c r="M10" s="126">
        <v>4.660329625681308E-2</v>
      </c>
      <c r="N10" s="124">
        <v>323.30556271427344</v>
      </c>
      <c r="O10" s="127">
        <v>414800</v>
      </c>
      <c r="P10" s="128">
        <f t="shared" si="5"/>
        <v>15181.68</v>
      </c>
      <c r="Q10" s="128">
        <v>36600</v>
      </c>
      <c r="R10" s="126">
        <v>0.153</v>
      </c>
      <c r="S10" s="126">
        <v>0.112</v>
      </c>
      <c r="T10" s="129">
        <v>6042.2283404900227</v>
      </c>
      <c r="U10" s="83"/>
      <c r="V10" s="45">
        <v>23.921182000000002</v>
      </c>
      <c r="W10" s="45">
        <v>0</v>
      </c>
      <c r="X10" s="45">
        <v>0</v>
      </c>
      <c r="Y10" s="45">
        <v>0</v>
      </c>
      <c r="Z10" s="45">
        <v>0.76354100000000003</v>
      </c>
      <c r="AA10" s="45">
        <v>0</v>
      </c>
      <c r="AB10" s="45">
        <v>0</v>
      </c>
      <c r="AC10" s="45">
        <v>0</v>
      </c>
      <c r="AD10" s="45">
        <v>23.921182000000002</v>
      </c>
      <c r="AE10" s="46">
        <v>0.57659089161566923</v>
      </c>
      <c r="AF10" s="45">
        <v>0.206092</v>
      </c>
      <c r="AG10" s="46">
        <v>4.9675960842928447E-3</v>
      </c>
      <c r="AH10" s="45">
        <v>0</v>
      </c>
      <c r="AI10" s="46">
        <v>0</v>
      </c>
      <c r="AJ10" s="45">
        <v>41.487269999999995</v>
      </c>
      <c r="AK10" s="45">
        <f>('3-Fiscal Support for HE'!C10/1000000)-AJ10</f>
        <v>0.67522500000001173</v>
      </c>
      <c r="AL10" s="47">
        <v>15181680000</v>
      </c>
      <c r="AQ10" s="48">
        <v>2976149</v>
      </c>
      <c r="AR10" s="48">
        <v>283421</v>
      </c>
    </row>
    <row r="11" spans="1:49" ht="12.75" x14ac:dyDescent="0.2">
      <c r="A11" s="65" t="s">
        <v>32</v>
      </c>
      <c r="B11" s="44">
        <v>391.50507000000005</v>
      </c>
      <c r="C11" s="44">
        <f t="shared" si="2"/>
        <v>321.29430500000001</v>
      </c>
      <c r="D11" s="44">
        <f t="shared" si="0"/>
        <v>313.30053400000003</v>
      </c>
      <c r="E11" s="44">
        <v>7.9937709999999997</v>
      </c>
      <c r="F11" s="44">
        <f t="shared" si="1"/>
        <v>69.622765000000001</v>
      </c>
      <c r="G11" s="44">
        <v>0</v>
      </c>
      <c r="H11" s="54">
        <v>0</v>
      </c>
      <c r="I11" s="44">
        <v>296.87651399999999</v>
      </c>
      <c r="J11" s="54">
        <v>0.91927266248307227</v>
      </c>
      <c r="K11" s="59">
        <f t="shared" si="3"/>
        <v>26.070665999999999</v>
      </c>
      <c r="L11" s="61">
        <f t="shared" si="4"/>
        <v>8.0727337516927691E-2</v>
      </c>
      <c r="M11" s="99">
        <v>9.067500119670345E-2</v>
      </c>
      <c r="N11" s="59">
        <v>848.57737298185282</v>
      </c>
      <c r="O11" s="100">
        <v>1322400</v>
      </c>
      <c r="P11" s="101">
        <f t="shared" si="5"/>
        <v>47870.879999999997</v>
      </c>
      <c r="Q11" s="101">
        <v>36200</v>
      </c>
      <c r="R11" s="99">
        <v>0.112</v>
      </c>
      <c r="S11" s="99">
        <v>0.09</v>
      </c>
      <c r="T11" s="103">
        <v>2435.6792344375372</v>
      </c>
      <c r="U11" s="82"/>
      <c r="V11" s="12">
        <v>228.81745000000001</v>
      </c>
      <c r="W11" s="12">
        <v>84.483084000000005</v>
      </c>
      <c r="X11" s="12">
        <v>0</v>
      </c>
      <c r="Y11" s="12">
        <v>21.354939000000002</v>
      </c>
      <c r="Z11" s="12">
        <v>0</v>
      </c>
      <c r="AA11" s="12">
        <v>0</v>
      </c>
      <c r="AB11" s="12">
        <v>48.267825999999999</v>
      </c>
      <c r="AC11" s="12">
        <v>0</v>
      </c>
      <c r="AD11" s="12">
        <v>0</v>
      </c>
      <c r="AE11" s="13">
        <v>0</v>
      </c>
      <c r="AF11" s="12">
        <v>26.070665999999999</v>
      </c>
      <c r="AG11" s="13">
        <v>8.0727337516927691E-2</v>
      </c>
      <c r="AH11" s="12">
        <v>0</v>
      </c>
      <c r="AI11" s="13">
        <v>0</v>
      </c>
      <c r="AJ11" s="12">
        <v>322.94718</v>
      </c>
      <c r="AK11" s="12">
        <f>('3-Fiscal Support for HE'!C11/1000000)-AJ11</f>
        <v>68.557890000000043</v>
      </c>
      <c r="AL11" s="11">
        <v>47870880000</v>
      </c>
      <c r="AM11" s="11"/>
      <c r="AN11" s="11"/>
      <c r="AO11" s="11"/>
      <c r="AP11" s="11"/>
      <c r="AQ11" s="16">
        <v>10488084</v>
      </c>
      <c r="AR11" s="16">
        <v>990587</v>
      </c>
      <c r="AS11" s="11"/>
      <c r="AT11" s="11"/>
      <c r="AU11" s="11"/>
      <c r="AV11" s="11"/>
      <c r="AW11" s="11"/>
    </row>
    <row r="12" spans="1:49" ht="12.75" x14ac:dyDescent="0.2">
      <c r="A12" s="64" t="s">
        <v>35</v>
      </c>
      <c r="B12" s="12">
        <v>108.785749</v>
      </c>
      <c r="C12" s="12">
        <f t="shared" si="2"/>
        <v>94.821967000000001</v>
      </c>
      <c r="D12" s="12">
        <f t="shared" si="0"/>
        <v>88.209877000000006</v>
      </c>
      <c r="E12" s="12">
        <v>6.6120900000000002</v>
      </c>
      <c r="F12" s="12">
        <f t="shared" si="1"/>
        <v>13.940091000000001</v>
      </c>
      <c r="G12" s="12">
        <v>5.8831749999999996</v>
      </c>
      <c r="H12" s="13">
        <v>5.4092163279955585E-2</v>
      </c>
      <c r="I12" s="12">
        <v>17.118601000000002</v>
      </c>
      <c r="J12" s="13">
        <v>0.15739497132354743</v>
      </c>
      <c r="K12" s="26">
        <f t="shared" si="3"/>
        <v>85.760282000000004</v>
      </c>
      <c r="L12" s="60">
        <f t="shared" si="4"/>
        <v>0.78851286539649701</v>
      </c>
      <c r="M12" s="19">
        <v>0.13079663244292369</v>
      </c>
      <c r="N12" s="26">
        <v>647.3505533291916</v>
      </c>
      <c r="O12" s="85">
        <v>464600</v>
      </c>
      <c r="P12" s="86">
        <f t="shared" si="5"/>
        <v>14588.44</v>
      </c>
      <c r="Q12" s="86">
        <v>31400</v>
      </c>
      <c r="R12" s="19">
        <v>0.13100000000000001</v>
      </c>
      <c r="S12" s="19">
        <v>0.10299999999999999</v>
      </c>
      <c r="T12" s="102">
        <v>849.16414568613789</v>
      </c>
      <c r="U12" s="82"/>
      <c r="V12" s="12">
        <v>17.066500999999999</v>
      </c>
      <c r="W12" s="12">
        <v>71.143376000000004</v>
      </c>
      <c r="X12" s="12">
        <v>0</v>
      </c>
      <c r="Y12" s="12">
        <v>0</v>
      </c>
      <c r="Z12" s="12">
        <v>0</v>
      </c>
      <c r="AA12" s="12">
        <v>0</v>
      </c>
      <c r="AB12" s="12">
        <v>13.940091000000001</v>
      </c>
      <c r="AC12" s="12">
        <v>0</v>
      </c>
      <c r="AD12" s="12">
        <v>0</v>
      </c>
      <c r="AE12" s="13">
        <v>0</v>
      </c>
      <c r="AF12" s="12">
        <v>85.760282000000004</v>
      </c>
      <c r="AG12" s="13">
        <v>0.78851286539649701</v>
      </c>
      <c r="AH12" s="12">
        <v>0</v>
      </c>
      <c r="AI12" s="13">
        <v>0</v>
      </c>
      <c r="AJ12" s="12">
        <v>108.762058</v>
      </c>
      <c r="AK12" s="12">
        <f>('3-Fiscal Support for HE'!C12/1000000)-AJ12</f>
        <v>2.3690999999999462E-2</v>
      </c>
      <c r="AL12" s="11">
        <v>14588440000</v>
      </c>
      <c r="AM12" s="11"/>
      <c r="AN12" s="11"/>
      <c r="AO12" s="11"/>
      <c r="AP12" s="11"/>
      <c r="AQ12" s="16">
        <v>3956971</v>
      </c>
      <c r="AR12" s="16">
        <v>380905</v>
      </c>
      <c r="AS12" s="11"/>
      <c r="AT12" s="11"/>
      <c r="AU12" s="11"/>
      <c r="AV12" s="11"/>
      <c r="AW12" s="11"/>
    </row>
    <row r="13" spans="1:49" ht="12.75" x14ac:dyDescent="0.2">
      <c r="A13" s="64" t="s">
        <v>112</v>
      </c>
      <c r="B13" s="12">
        <f>380.73156+40.528625</f>
        <v>421.26018499999998</v>
      </c>
      <c r="C13" s="12">
        <f t="shared" si="2"/>
        <v>415.58432099999999</v>
      </c>
      <c r="D13" s="12">
        <f t="shared" si="0"/>
        <v>71.620120999999997</v>
      </c>
      <c r="E13" s="12">
        <v>343.96420000000001</v>
      </c>
      <c r="F13" s="12">
        <f t="shared" si="1"/>
        <v>2.1716639999999998</v>
      </c>
      <c r="G13" s="21">
        <v>297.74526600000002</v>
      </c>
      <c r="H13" s="20">
        <f>G13/AJ13</f>
        <v>0.71644970937197605</v>
      </c>
      <c r="I13" s="12">
        <v>31.091495999999999</v>
      </c>
      <c r="J13" s="20">
        <f>I13/AJ13</f>
        <v>7.4813929277182722E-2</v>
      </c>
      <c r="K13" s="26">
        <f t="shared" si="3"/>
        <v>86.747558999999995</v>
      </c>
      <c r="L13" s="60">
        <f t="shared" si="4"/>
        <v>0.20873636135084123</v>
      </c>
      <c r="M13" s="19">
        <v>0.35856728970510521</v>
      </c>
      <c r="N13" s="26">
        <v>2353.0255921004209</v>
      </c>
      <c r="O13" s="85">
        <v>731000</v>
      </c>
      <c r="P13" s="86">
        <f t="shared" si="5"/>
        <v>26754.6</v>
      </c>
      <c r="Q13" s="86">
        <v>36600</v>
      </c>
      <c r="R13" s="19">
        <v>0.127</v>
      </c>
      <c r="S13" s="19">
        <v>0.10199999999999999</v>
      </c>
      <c r="T13" s="102">
        <v>2994.5784690409341</v>
      </c>
      <c r="U13" s="82"/>
      <c r="V13" s="12">
        <f>31.091496+40.528625</f>
        <v>71.620120999999997</v>
      </c>
      <c r="W13" s="12">
        <v>0</v>
      </c>
      <c r="X13" s="12">
        <v>0</v>
      </c>
      <c r="Y13" s="12">
        <v>0</v>
      </c>
      <c r="Z13" s="12">
        <v>2.1716639999999998</v>
      </c>
      <c r="AA13" s="12">
        <v>0</v>
      </c>
      <c r="AB13" s="12">
        <v>0</v>
      </c>
      <c r="AC13" s="12">
        <v>0</v>
      </c>
      <c r="AD13" s="21">
        <v>40.528624999999998</v>
      </c>
      <c r="AE13" s="20">
        <f>AD13/AJ13</f>
        <v>9.7522026101653628E-2</v>
      </c>
      <c r="AF13" s="12">
        <v>0</v>
      </c>
      <c r="AG13" s="13">
        <v>0</v>
      </c>
      <c r="AH13" s="12">
        <v>46.218933999999997</v>
      </c>
      <c r="AI13" s="13">
        <f>AH13/AJ13</f>
        <v>0.11121433524918761</v>
      </c>
      <c r="AJ13" s="12">
        <f>375.055696+40.528625</f>
        <v>415.58432099999999</v>
      </c>
      <c r="AK13" s="12">
        <f>('3-Fiscal Support for HE'!C13/1000000)-AJ13</f>
        <v>5.67586399999999</v>
      </c>
      <c r="AL13" s="11">
        <v>26754600000</v>
      </c>
      <c r="AM13" s="11"/>
      <c r="AN13" s="11"/>
      <c r="AO13" s="11"/>
      <c r="AP13" s="11"/>
      <c r="AQ13" s="16">
        <v>5148714</v>
      </c>
      <c r="AR13" s="16">
        <v>467399</v>
      </c>
      <c r="AS13" s="11"/>
      <c r="AT13" s="11"/>
      <c r="AU13" s="11"/>
      <c r="AV13" s="11"/>
      <c r="AW13" s="11"/>
    </row>
    <row r="14" spans="1:49" ht="12.75" x14ac:dyDescent="0.2">
      <c r="A14" s="64" t="s">
        <v>41</v>
      </c>
      <c r="B14" s="12">
        <v>454.31267599999995</v>
      </c>
      <c r="C14" s="12">
        <f t="shared" si="2"/>
        <v>424.50352899999996</v>
      </c>
      <c r="D14" s="12">
        <f t="shared" si="0"/>
        <v>110.02351899999999</v>
      </c>
      <c r="E14" s="12">
        <v>314.48000999999999</v>
      </c>
      <c r="F14" s="12">
        <f t="shared" si="1"/>
        <v>29.809146999999999</v>
      </c>
      <c r="G14" s="12">
        <v>274.13599299999998</v>
      </c>
      <c r="H14" s="13">
        <v>0.60374715176290061</v>
      </c>
      <c r="I14" s="12">
        <v>73.059460999999999</v>
      </c>
      <c r="J14" s="13">
        <v>0.16090350269357998</v>
      </c>
      <c r="K14" s="26">
        <f t="shared" si="3"/>
        <v>106.862163</v>
      </c>
      <c r="L14" s="60">
        <f t="shared" si="4"/>
        <v>0.23534934554351941</v>
      </c>
      <c r="M14" s="19">
        <v>0.23602660415987925</v>
      </c>
      <c r="N14" s="26">
        <v>1790.368483872056</v>
      </c>
      <c r="O14" s="85">
        <v>846700</v>
      </c>
      <c r="P14" s="86">
        <f t="shared" si="5"/>
        <v>30057.85</v>
      </c>
      <c r="Q14" s="86">
        <v>35500</v>
      </c>
      <c r="R14" s="19">
        <v>0.126</v>
      </c>
      <c r="S14" s="19">
        <v>9.8000000000000004E-2</v>
      </c>
      <c r="T14" s="102">
        <v>1446.6647063482635</v>
      </c>
      <c r="U14" s="82"/>
      <c r="V14" s="12">
        <v>73.059460999999999</v>
      </c>
      <c r="W14" s="12">
        <v>36.964058000000001</v>
      </c>
      <c r="X14" s="12">
        <v>0</v>
      </c>
      <c r="Y14" s="12">
        <v>0.97314000000000001</v>
      </c>
      <c r="Z14" s="12">
        <v>28.836006999999999</v>
      </c>
      <c r="AA14" s="12">
        <v>0</v>
      </c>
      <c r="AB14" s="12">
        <v>0</v>
      </c>
      <c r="AC14" s="12">
        <v>0</v>
      </c>
      <c r="AD14" s="12">
        <v>23.724335</v>
      </c>
      <c r="AE14" s="13">
        <v>5.2249613511053596E-2</v>
      </c>
      <c r="AF14" s="12">
        <v>83.137827999999999</v>
      </c>
      <c r="AG14" s="13">
        <v>0.18309973203246582</v>
      </c>
      <c r="AH14" s="12">
        <v>0</v>
      </c>
      <c r="AI14" s="13">
        <v>0</v>
      </c>
      <c r="AJ14" s="12">
        <v>454.05761699999999</v>
      </c>
      <c r="AK14" s="12">
        <f>('3-Fiscal Support for HE'!C14/1000000)-AJ14</f>
        <v>0.25505899999996018</v>
      </c>
      <c r="AL14" s="11">
        <v>30057850000</v>
      </c>
      <c r="AM14" s="11"/>
      <c r="AN14" s="11"/>
      <c r="AO14" s="11"/>
      <c r="AP14" s="11"/>
      <c r="AQ14" s="16">
        <v>6829174</v>
      </c>
      <c r="AR14" s="16">
        <v>612440</v>
      </c>
      <c r="AS14" s="11"/>
      <c r="AT14" s="11"/>
      <c r="AU14" s="11"/>
      <c r="AV14" s="11"/>
      <c r="AW14" s="11"/>
    </row>
    <row r="15" spans="1:49" ht="12.75" x14ac:dyDescent="0.2">
      <c r="A15" s="64" t="s">
        <v>42</v>
      </c>
      <c r="B15" s="12">
        <v>1202.6131010000001</v>
      </c>
      <c r="C15" s="12">
        <f t="shared" si="2"/>
        <v>938.41644399999996</v>
      </c>
      <c r="D15" s="12">
        <f t="shared" si="0"/>
        <v>938.41644399999996</v>
      </c>
      <c r="E15" s="12">
        <v>0</v>
      </c>
      <c r="F15" s="12">
        <f t="shared" si="1"/>
        <v>180.96315100000001</v>
      </c>
      <c r="G15" s="12">
        <v>0</v>
      </c>
      <c r="H15" s="13">
        <v>0</v>
      </c>
      <c r="I15" s="12">
        <v>462.96524899999997</v>
      </c>
      <c r="J15" s="13">
        <v>0.4267721119710704</v>
      </c>
      <c r="K15" s="26">
        <f t="shared" si="3"/>
        <v>621.84145699999999</v>
      </c>
      <c r="L15" s="60">
        <f t="shared" si="4"/>
        <v>0.57322788802892977</v>
      </c>
      <c r="M15" s="19">
        <v>0.15870208436332986</v>
      </c>
      <c r="N15" s="26">
        <v>918.53296099337638</v>
      </c>
      <c r="O15" s="85">
        <v>3593500</v>
      </c>
      <c r="P15" s="86">
        <f t="shared" si="5"/>
        <v>117507.45</v>
      </c>
      <c r="Q15" s="86">
        <v>32700</v>
      </c>
      <c r="R15" s="19">
        <v>0.115</v>
      </c>
      <c r="S15" s="19">
        <v>9.4E-2</v>
      </c>
      <c r="T15" s="102">
        <v>5050.8861914082099</v>
      </c>
      <c r="U15" s="82"/>
      <c r="V15" s="12">
        <v>402.50421799999998</v>
      </c>
      <c r="W15" s="12">
        <v>535.91222600000003</v>
      </c>
      <c r="X15" s="12">
        <v>154.76556600000001</v>
      </c>
      <c r="Y15" s="12">
        <v>16.406179000000002</v>
      </c>
      <c r="Z15" s="12">
        <v>0.98973</v>
      </c>
      <c r="AA15" s="12">
        <v>8.5161890000000007</v>
      </c>
      <c r="AB15" s="12">
        <v>0.28548699999999999</v>
      </c>
      <c r="AC15" s="12">
        <v>0</v>
      </c>
      <c r="AD15" s="12">
        <v>402.50421799999998</v>
      </c>
      <c r="AE15" s="13">
        <v>0.37103773029220199</v>
      </c>
      <c r="AF15" s="12">
        <v>83.727230000000006</v>
      </c>
      <c r="AG15" s="13">
        <v>7.7181703926524237E-2</v>
      </c>
      <c r="AH15" s="12">
        <v>135.61000899999999</v>
      </c>
      <c r="AI15" s="13">
        <v>0.12500845381020351</v>
      </c>
      <c r="AJ15" s="12">
        <v>1084.8067059999998</v>
      </c>
      <c r="AK15" s="12">
        <f>('3-Fiscal Support for HE'!C15/1000000)-AJ15</f>
        <v>117.80639500000029</v>
      </c>
      <c r="AL15" s="11">
        <v>117507450000</v>
      </c>
      <c r="AM15" s="11"/>
      <c r="AN15" s="11"/>
      <c r="AO15" s="11"/>
      <c r="AP15" s="11"/>
      <c r="AQ15" s="16">
        <v>28995881</v>
      </c>
      <c r="AR15" s="16">
        <v>2813300</v>
      </c>
      <c r="AS15" s="11"/>
      <c r="AT15" s="11"/>
      <c r="AU15" s="11"/>
      <c r="AV15" s="11"/>
      <c r="AW15" s="11"/>
    </row>
    <row r="16" spans="1:49" ht="12.75" x14ac:dyDescent="0.2">
      <c r="A16" s="64" t="s">
        <v>45</v>
      </c>
      <c r="B16" s="12">
        <v>844.01627699999995</v>
      </c>
      <c r="C16" s="12">
        <f t="shared" si="2"/>
        <v>482.19715099999996</v>
      </c>
      <c r="D16" s="12">
        <f t="shared" si="0"/>
        <v>414.32070799999997</v>
      </c>
      <c r="E16" s="12">
        <v>67.876442999999995</v>
      </c>
      <c r="F16" s="12">
        <f t="shared" si="1"/>
        <v>258.56949100000003</v>
      </c>
      <c r="G16" s="12">
        <v>0</v>
      </c>
      <c r="H16" s="13">
        <v>0</v>
      </c>
      <c r="I16" s="12">
        <v>360.07471399999997</v>
      </c>
      <c r="J16" s="13">
        <v>0.58151787330417115</v>
      </c>
      <c r="K16" s="26">
        <f t="shared" si="3"/>
        <v>259.12330299999996</v>
      </c>
      <c r="L16" s="60">
        <f t="shared" si="4"/>
        <v>0.4184821266958289</v>
      </c>
      <c r="M16" s="19">
        <v>0.39803297941835114</v>
      </c>
      <c r="N16" s="26">
        <v>1380.5145066535349</v>
      </c>
      <c r="O16" s="85">
        <v>1159900</v>
      </c>
      <c r="P16" s="86">
        <f t="shared" si="5"/>
        <v>44192.19</v>
      </c>
      <c r="Q16" s="86">
        <v>38100</v>
      </c>
      <c r="R16" s="19">
        <v>9.1999999999999998E-2</v>
      </c>
      <c r="S16" s="19">
        <v>7.5999999999999998E-2</v>
      </c>
      <c r="T16" s="102">
        <v>2714.6052220608785</v>
      </c>
      <c r="U16" s="82"/>
      <c r="V16" s="12">
        <v>198.160752</v>
      </c>
      <c r="W16" s="12">
        <v>216.15995599999999</v>
      </c>
      <c r="X16" s="12">
        <v>0</v>
      </c>
      <c r="Y16" s="12">
        <v>0</v>
      </c>
      <c r="Z16" s="12">
        <v>4.6372309999999999</v>
      </c>
      <c r="AA16" s="12">
        <v>0</v>
      </c>
      <c r="AB16" s="12">
        <v>253.76226</v>
      </c>
      <c r="AC16" s="12">
        <v>0.17</v>
      </c>
      <c r="AD16" s="12">
        <v>95.611605999999995</v>
      </c>
      <c r="AE16" s="13">
        <v>0.15441200290536461</v>
      </c>
      <c r="AF16" s="12">
        <v>82.752903000000003</v>
      </c>
      <c r="AG16" s="13">
        <v>0.1336452971877008</v>
      </c>
      <c r="AH16" s="12">
        <v>80.758793999999995</v>
      </c>
      <c r="AI16" s="13">
        <v>0.1304248266027635</v>
      </c>
      <c r="AJ16" s="12">
        <v>619.19801699999994</v>
      </c>
      <c r="AK16" s="12">
        <f>('3-Fiscal Support for HE'!C16/1000000)-AJ16</f>
        <v>224.81826000000001</v>
      </c>
      <c r="AL16" s="11">
        <v>44192190000</v>
      </c>
      <c r="AM16" s="11"/>
      <c r="AN16" s="11"/>
      <c r="AO16" s="11"/>
      <c r="AP16" s="11"/>
      <c r="AQ16" s="16">
        <v>8535519</v>
      </c>
      <c r="AR16" s="16">
        <v>798197</v>
      </c>
      <c r="AS16" s="11"/>
      <c r="AT16" s="11"/>
      <c r="AU16" s="11"/>
      <c r="AV16" s="11"/>
      <c r="AW16" s="11"/>
    </row>
    <row r="17" spans="1:49" ht="13.5" thickBot="1" x14ac:dyDescent="0.25">
      <c r="A17" s="66" t="s">
        <v>48</v>
      </c>
      <c r="B17" s="43">
        <v>123.49717800000001</v>
      </c>
      <c r="C17" s="43">
        <f t="shared" si="2"/>
        <v>88.869775000000004</v>
      </c>
      <c r="D17" s="43">
        <f t="shared" si="0"/>
        <v>41.415573999999999</v>
      </c>
      <c r="E17" s="43">
        <v>47.454200999999998</v>
      </c>
      <c r="F17" s="43">
        <f t="shared" si="1"/>
        <v>34.312402999999996</v>
      </c>
      <c r="G17" s="43">
        <v>47.454200999999998</v>
      </c>
      <c r="H17" s="53">
        <v>0.39646090919428584</v>
      </c>
      <c r="I17" s="43">
        <v>0</v>
      </c>
      <c r="J17" s="53">
        <v>0</v>
      </c>
      <c r="K17" s="58">
        <f t="shared" si="3"/>
        <v>72.24032600000001</v>
      </c>
      <c r="L17" s="80">
        <f t="shared" si="4"/>
        <v>0.60353909080571411</v>
      </c>
      <c r="M17" s="108">
        <v>0.25106717014475999</v>
      </c>
      <c r="N17" s="58">
        <v>1042.2284182997337</v>
      </c>
      <c r="O17" s="109">
        <v>216700</v>
      </c>
      <c r="P17" s="110">
        <f t="shared" si="5"/>
        <v>6891.06</v>
      </c>
      <c r="Q17" s="110">
        <v>31800</v>
      </c>
      <c r="R17" s="108">
        <v>0.13500000000000001</v>
      </c>
      <c r="S17" s="108">
        <v>0.11799999999999999</v>
      </c>
      <c r="T17" s="111">
        <v>2305.2192837465564</v>
      </c>
      <c r="U17" s="82"/>
      <c r="V17" s="12">
        <v>37.655757000000001</v>
      </c>
      <c r="W17" s="12">
        <v>3.759817</v>
      </c>
      <c r="X17" s="12">
        <v>0</v>
      </c>
      <c r="Y17" s="12">
        <v>1.732612</v>
      </c>
      <c r="Z17" s="12">
        <v>0.92864999999999998</v>
      </c>
      <c r="AA17" s="12">
        <v>0</v>
      </c>
      <c r="AB17" s="12">
        <v>31.651140999999999</v>
      </c>
      <c r="AC17" s="12">
        <v>0</v>
      </c>
      <c r="AD17" s="12">
        <v>37.655757000000001</v>
      </c>
      <c r="AE17" s="13">
        <v>0.31459882037881315</v>
      </c>
      <c r="AF17" s="12">
        <v>34.584569000000002</v>
      </c>
      <c r="AG17" s="13">
        <v>0.28894027042690096</v>
      </c>
      <c r="AH17" s="12">
        <v>0</v>
      </c>
      <c r="AI17" s="13">
        <v>0</v>
      </c>
      <c r="AJ17" s="12">
        <v>119.69452700000001</v>
      </c>
      <c r="AK17" s="12">
        <f>('3-Fiscal Support for HE'!C17/1000000)-AJ17</f>
        <v>3.8026509999999973</v>
      </c>
      <c r="AL17" s="11">
        <v>6891060000</v>
      </c>
      <c r="AM17" s="11"/>
      <c r="AN17" s="11"/>
      <c r="AO17" s="11"/>
      <c r="AP17" s="11"/>
      <c r="AQ17" s="16">
        <v>1792147</v>
      </c>
      <c r="AR17" s="16">
        <v>153786</v>
      </c>
      <c r="AS17" s="11"/>
      <c r="AT17" s="11"/>
      <c r="AU17" s="11"/>
      <c r="AV17" s="11"/>
      <c r="AW17" s="11"/>
    </row>
    <row r="18" spans="1:49" s="42" customFormat="1" ht="13.5" thickBot="1" x14ac:dyDescent="0.25">
      <c r="A18" s="113" t="s">
        <v>187</v>
      </c>
      <c r="B18" s="55">
        <f>SUM(B2:B17)</f>
        <v>6404.6421589999991</v>
      </c>
      <c r="C18" s="55">
        <f t="shared" si="2"/>
        <v>5406.5998799999998</v>
      </c>
      <c r="D18" s="55">
        <f t="shared" si="0"/>
        <v>2616.993418</v>
      </c>
      <c r="E18" s="55">
        <f>SUM(E2:E17)</f>
        <v>2789.6064620000002</v>
      </c>
      <c r="F18" s="55">
        <f t="shared" si="1"/>
        <v>773.58435099999997</v>
      </c>
      <c r="G18" s="55">
        <f>SUM(G2:G17)</f>
        <v>2384.3815209999998</v>
      </c>
      <c r="H18" s="114">
        <f>G18/AJ18</f>
        <v>0.40108000651541048</v>
      </c>
      <c r="I18" s="55">
        <f>SUM(I2:I17)</f>
        <v>1721.6661949999998</v>
      </c>
      <c r="J18" s="115">
        <f>I18/AJ18</f>
        <v>0.28960377465866211</v>
      </c>
      <c r="K18" s="116">
        <f t="shared" si="3"/>
        <v>1838.8547530000001</v>
      </c>
      <c r="L18" s="81">
        <f>K18/(SUM(G18+I18+K18))</f>
        <v>0.30931621882592747</v>
      </c>
      <c r="M18" s="117">
        <v>0.17986060835409637</v>
      </c>
      <c r="N18" s="116">
        <v>1194.1024773441654</v>
      </c>
      <c r="O18" s="118">
        <f>SUM(O2:O17)</f>
        <v>16108700</v>
      </c>
      <c r="P18" s="119">
        <f>SUM(P2:P17)</f>
        <v>583027.15999999992</v>
      </c>
      <c r="Q18" s="119">
        <f>AL18/O18</f>
        <v>36193.309205584563</v>
      </c>
      <c r="R18" s="117"/>
      <c r="S18" s="117"/>
      <c r="T18" s="120">
        <v>2225.5240428678098</v>
      </c>
      <c r="U18" s="84"/>
      <c r="V18" s="41">
        <f>SUM(V2:V17)</f>
        <v>1519.934072</v>
      </c>
      <c r="W18" s="41">
        <f t="shared" ref="W18:AK18" si="6">SUM(W2:W17)</f>
        <v>1097.0593460000002</v>
      </c>
      <c r="X18" s="41">
        <f t="shared" si="6"/>
        <v>183.53389300000001</v>
      </c>
      <c r="Y18" s="41">
        <f t="shared" si="6"/>
        <v>42.892026000000008</v>
      </c>
      <c r="Z18" s="41">
        <f t="shared" si="6"/>
        <v>43.897746999999995</v>
      </c>
      <c r="AA18" s="41">
        <f t="shared" si="6"/>
        <v>9.9125200000000007</v>
      </c>
      <c r="AB18" s="41">
        <f t="shared" si="6"/>
        <v>349.65967699999999</v>
      </c>
      <c r="AC18" s="41">
        <f t="shared" si="6"/>
        <v>143.68848800000001</v>
      </c>
      <c r="AD18" s="41">
        <f t="shared" si="6"/>
        <v>640.37450199999989</v>
      </c>
      <c r="AE18" s="50"/>
      <c r="AF18" s="41">
        <f t="shared" si="6"/>
        <v>929.17658799999992</v>
      </c>
      <c r="AG18" s="50"/>
      <c r="AH18" s="41">
        <f t="shared" si="6"/>
        <v>269.30366300000003</v>
      </c>
      <c r="AI18" s="50"/>
      <c r="AJ18" s="41">
        <f t="shared" si="6"/>
        <v>5944.9024689999997</v>
      </c>
      <c r="AK18" s="41">
        <f t="shared" si="6"/>
        <v>459.73969000000045</v>
      </c>
      <c r="AL18" s="42">
        <f>SUM(AL2:AL17)</f>
        <v>583027160000</v>
      </c>
      <c r="AQ18" s="51"/>
      <c r="AR18" s="51"/>
    </row>
    <row r="19" spans="1:49" hidden="1" x14ac:dyDescent="0.25">
      <c r="A19" s="65"/>
      <c r="B19" s="44"/>
      <c r="C19" s="44">
        <f t="shared" si="2"/>
        <v>0</v>
      </c>
      <c r="D19" s="44"/>
      <c r="E19" s="44"/>
      <c r="F19" s="44"/>
      <c r="G19" s="44"/>
      <c r="H19" s="54"/>
      <c r="I19" s="44"/>
      <c r="J19" s="44"/>
      <c r="K19" s="59"/>
      <c r="L19" s="49"/>
      <c r="M19" s="99"/>
      <c r="N19" s="59"/>
      <c r="O19" s="90"/>
      <c r="P19" s="91"/>
      <c r="Q19" s="91"/>
      <c r="R19" s="92"/>
      <c r="S19" s="92"/>
      <c r="T19" s="112"/>
      <c r="U19" s="82"/>
      <c r="V19" s="24">
        <f>V10/C10</f>
        <v>0.57782092755290382</v>
      </c>
      <c r="W19" s="12">
        <f>V18+W18</f>
        <v>2616.993418</v>
      </c>
      <c r="AC19" s="12">
        <f>SUM(X18:AC18)</f>
        <v>773.58435099999997</v>
      </c>
      <c r="AE19" s="13"/>
      <c r="AG19" s="13"/>
      <c r="AI19" s="13"/>
      <c r="AM19" s="11"/>
      <c r="AN19" s="11"/>
      <c r="AO19" s="11"/>
      <c r="AP19" s="11"/>
      <c r="AQ19" s="16"/>
      <c r="AR19" s="16"/>
      <c r="AS19" s="11"/>
      <c r="AT19" s="11"/>
      <c r="AU19" s="11"/>
      <c r="AV19" s="11"/>
      <c r="AW19" s="11"/>
    </row>
    <row r="20" spans="1:49" hidden="1" x14ac:dyDescent="0.25">
      <c r="A20" s="64"/>
      <c r="C20" s="12">
        <f t="shared" si="2"/>
        <v>0</v>
      </c>
      <c r="E20" s="24"/>
      <c r="H20" s="13"/>
      <c r="J20" s="13"/>
      <c r="K20" s="26">
        <f t="shared" si="3"/>
        <v>0</v>
      </c>
      <c r="M20" s="19"/>
      <c r="N20" s="26"/>
      <c r="T20" s="102"/>
      <c r="U20" s="82"/>
      <c r="V20" s="24">
        <f>E10/C10</f>
        <v>0.42217907244709613</v>
      </c>
      <c r="W20" s="24">
        <f>(SUM(V18+W18))/C18</f>
        <v>0.48403682093819012</v>
      </c>
      <c r="X20" s="25">
        <f>C10/B10</f>
        <v>0.98189051667838911</v>
      </c>
      <c r="AE20" s="13"/>
      <c r="AG20" s="13"/>
      <c r="AI20" s="13"/>
      <c r="AM20" s="11"/>
      <c r="AN20" s="11"/>
      <c r="AO20" s="11"/>
      <c r="AP20" s="11"/>
      <c r="AQ20" s="16"/>
      <c r="AR20" s="16"/>
      <c r="AS20" s="11"/>
      <c r="AT20" s="11"/>
      <c r="AU20" s="11"/>
      <c r="AV20" s="11"/>
      <c r="AW20" s="11"/>
    </row>
    <row r="21" spans="1:49" ht="12.75" x14ac:dyDescent="0.2">
      <c r="A21" s="64" t="s">
        <v>1</v>
      </c>
      <c r="B21" s="12">
        <v>27.274224</v>
      </c>
      <c r="C21" s="12">
        <f t="shared" si="2"/>
        <v>15.936924000000001</v>
      </c>
      <c r="D21" s="12">
        <f t="shared" ref="D21:D57" si="7">V21+W21</f>
        <v>5.8504019999999999</v>
      </c>
      <c r="E21" s="12">
        <v>10.086522</v>
      </c>
      <c r="F21" s="12">
        <f t="shared" ref="F21:F57" si="8">SUM(X21:AC21)</f>
        <v>11.267158999999999</v>
      </c>
      <c r="G21" s="12">
        <v>10.086522</v>
      </c>
      <c r="H21" s="13">
        <v>0.40831049811302789</v>
      </c>
      <c r="I21" s="12">
        <v>5.8504019999999999</v>
      </c>
      <c r="J21" s="13">
        <v>0.2368289639165467</v>
      </c>
      <c r="K21" s="26">
        <f t="shared" si="3"/>
        <v>8.7661440000000006</v>
      </c>
      <c r="L21" s="60">
        <f t="shared" si="3"/>
        <v>0.35486053797042538</v>
      </c>
      <c r="M21" s="19">
        <v>7.7538811539469177E-2</v>
      </c>
      <c r="N21" s="26">
        <v>981.33768472906411</v>
      </c>
      <c r="O21" s="85">
        <v>71400</v>
      </c>
      <c r="P21" s="86">
        <f>AL21/1000000</f>
        <v>2356.1999999999998</v>
      </c>
      <c r="Q21" s="86">
        <v>33000</v>
      </c>
      <c r="R21" s="19">
        <v>0.113</v>
      </c>
      <c r="S21" s="19">
        <v>0.105</v>
      </c>
      <c r="T21" s="102">
        <v>2300.5906409752261</v>
      </c>
      <c r="U21" s="82"/>
      <c r="V21" s="12">
        <v>5.8504019999999999</v>
      </c>
      <c r="W21" s="12">
        <v>0</v>
      </c>
      <c r="X21" s="12">
        <v>9.8403519999999993</v>
      </c>
      <c r="Y21" s="12">
        <v>0.109947</v>
      </c>
      <c r="Z21" s="12">
        <v>1.3168599999999999</v>
      </c>
      <c r="AA21" s="12">
        <v>0</v>
      </c>
      <c r="AB21" s="12">
        <v>0</v>
      </c>
      <c r="AC21" s="12">
        <v>0</v>
      </c>
      <c r="AD21" s="12">
        <v>0</v>
      </c>
      <c r="AE21" s="13">
        <v>0</v>
      </c>
      <c r="AF21" s="12">
        <v>0.81417499999999998</v>
      </c>
      <c r="AG21" s="13">
        <v>3.2958456820019279E-2</v>
      </c>
      <c r="AH21" s="12">
        <v>7.9519690000000001</v>
      </c>
      <c r="AI21" s="13">
        <v>0.32190208115040608</v>
      </c>
      <c r="AJ21" s="12">
        <v>24.703068000000002</v>
      </c>
      <c r="AK21" s="12">
        <f>('3-Fiscal Support for HE'!C21/1000000)-AJ21</f>
        <v>2.5711559999999984</v>
      </c>
      <c r="AL21" s="11">
        <v>2356200000</v>
      </c>
      <c r="AM21" s="11"/>
      <c r="AN21" s="11"/>
      <c r="AO21" s="11"/>
      <c r="AP21" s="11"/>
      <c r="AQ21" s="16">
        <v>731545</v>
      </c>
      <c r="AR21" s="16">
        <v>68152</v>
      </c>
      <c r="AS21" s="11"/>
      <c r="AT21" s="11"/>
      <c r="AU21" s="11"/>
      <c r="AV21" s="11"/>
      <c r="AW21" s="11"/>
    </row>
    <row r="22" spans="1:49" ht="12.75" x14ac:dyDescent="0.2">
      <c r="A22" s="64" t="s">
        <v>2</v>
      </c>
      <c r="B22" s="12">
        <v>28.638667999999999</v>
      </c>
      <c r="C22" s="12">
        <f t="shared" si="2"/>
        <v>28.227042999999998</v>
      </c>
      <c r="D22" s="12">
        <f t="shared" si="7"/>
        <v>28.227042999999998</v>
      </c>
      <c r="E22" s="12">
        <v>0</v>
      </c>
      <c r="F22" s="12">
        <f t="shared" si="8"/>
        <v>0.41162500000000002</v>
      </c>
      <c r="G22" s="12">
        <v>0</v>
      </c>
      <c r="H22" s="13">
        <v>0</v>
      </c>
      <c r="I22" s="12">
        <v>28.227042999999998</v>
      </c>
      <c r="J22" s="13">
        <v>0.98562695024782576</v>
      </c>
      <c r="K22" s="26">
        <f t="shared" si="3"/>
        <v>0.41162500000000002</v>
      </c>
      <c r="L22" s="60">
        <f t="shared" si="3"/>
        <v>1.437304975217423E-2</v>
      </c>
      <c r="M22" s="19">
        <v>3.162819678866103E-2</v>
      </c>
      <c r="N22" s="26">
        <v>79.378636107986495</v>
      </c>
      <c r="O22" s="85">
        <v>858000</v>
      </c>
      <c r="P22" s="86">
        <f>AL22/1000000</f>
        <v>30630.6</v>
      </c>
      <c r="Q22" s="86">
        <v>35700</v>
      </c>
      <c r="R22" s="19">
        <v>0.12</v>
      </c>
      <c r="S22" s="19">
        <v>9.1999999999999998E-2</v>
      </c>
      <c r="T22" s="102">
        <v>760.03644123440574</v>
      </c>
      <c r="U22" s="82"/>
      <c r="V22" s="12">
        <v>2.3150710000000001</v>
      </c>
      <c r="W22" s="12">
        <v>25.911971999999999</v>
      </c>
      <c r="X22" s="12">
        <v>0</v>
      </c>
      <c r="Y22" s="12">
        <v>0.41162500000000002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3">
        <v>0</v>
      </c>
      <c r="AF22" s="12">
        <v>0.41162500000000002</v>
      </c>
      <c r="AG22" s="13">
        <v>1.437304975217423E-2</v>
      </c>
      <c r="AH22" s="12">
        <v>0</v>
      </c>
      <c r="AI22" s="13">
        <v>0</v>
      </c>
      <c r="AJ22" s="12">
        <v>28.638667999999999</v>
      </c>
      <c r="AK22" s="12">
        <f>('3-Fiscal Support for HE'!C22/1000000)-AJ22</f>
        <v>0</v>
      </c>
      <c r="AL22" s="11">
        <v>30630600000</v>
      </c>
      <c r="AM22" s="11"/>
      <c r="AN22" s="11"/>
      <c r="AO22" s="11"/>
      <c r="AP22" s="11"/>
      <c r="AQ22" s="16">
        <v>7278717</v>
      </c>
      <c r="AR22" s="16">
        <v>693844</v>
      </c>
      <c r="AS22" s="11"/>
      <c r="AT22" s="11"/>
      <c r="AU22" s="11"/>
      <c r="AV22" s="11"/>
      <c r="AW22" s="11"/>
    </row>
    <row r="23" spans="1:49" ht="12.75" x14ac:dyDescent="0.2">
      <c r="A23" s="64" t="s">
        <v>4</v>
      </c>
      <c r="B23" s="12">
        <v>2231.7255630000004</v>
      </c>
      <c r="C23" s="12">
        <f t="shared" si="2"/>
        <v>2228.1024230000003</v>
      </c>
      <c r="D23" s="12">
        <f t="shared" si="7"/>
        <v>2226.9681440000004</v>
      </c>
      <c r="E23" s="12">
        <v>1.134279</v>
      </c>
      <c r="F23" s="12">
        <f t="shared" si="8"/>
        <v>2.335</v>
      </c>
      <c r="G23" s="12">
        <v>0</v>
      </c>
      <c r="H23" s="13">
        <v>0</v>
      </c>
      <c r="I23" s="12">
        <v>0</v>
      </c>
      <c r="J23" s="13">
        <v>0</v>
      </c>
      <c r="K23" s="26">
        <f t="shared" si="3"/>
        <v>2230.3374229999999</v>
      </c>
      <c r="L23" s="60">
        <f t="shared" si="3"/>
        <v>1</v>
      </c>
      <c r="M23" s="19">
        <v>0.14131745741670698</v>
      </c>
      <c r="N23" s="26">
        <v>1300.207056625266</v>
      </c>
      <c r="O23" s="85">
        <v>4029100</v>
      </c>
      <c r="P23" s="86">
        <f>AL23/1000000</f>
        <v>148270.88</v>
      </c>
      <c r="Q23" s="86">
        <v>36800</v>
      </c>
      <c r="R23" s="19">
        <v>9.7000000000000003E-2</v>
      </c>
      <c r="S23" s="19">
        <v>7.5999999999999998E-2</v>
      </c>
      <c r="T23" s="102">
        <v>5719.5980662425118</v>
      </c>
      <c r="U23" s="82"/>
      <c r="V23" s="12">
        <v>2122.4913660000002</v>
      </c>
      <c r="W23" s="12">
        <v>104.476778</v>
      </c>
      <c r="X23" s="12">
        <v>0</v>
      </c>
      <c r="Y23" s="12">
        <v>2.335</v>
      </c>
      <c r="Z23" s="12">
        <v>0</v>
      </c>
      <c r="AA23" s="12">
        <v>0</v>
      </c>
      <c r="AB23" s="12">
        <v>0</v>
      </c>
      <c r="AC23" s="12">
        <v>0</v>
      </c>
      <c r="AD23" s="12">
        <v>2112.090346</v>
      </c>
      <c r="AE23" s="13">
        <v>0.94698242706211366</v>
      </c>
      <c r="AF23" s="12">
        <v>118.247077</v>
      </c>
      <c r="AG23" s="13">
        <v>5.3017572937886365E-2</v>
      </c>
      <c r="AH23" s="12">
        <v>0</v>
      </c>
      <c r="AI23" s="13">
        <v>0</v>
      </c>
      <c r="AJ23" s="12">
        <v>2230.3374229999999</v>
      </c>
      <c r="AK23" s="12">
        <f>('3-Fiscal Support for HE'!C23/1000000)-AJ23</f>
        <v>1.388140000000476</v>
      </c>
      <c r="AL23" s="11">
        <v>148270880000</v>
      </c>
      <c r="AM23" s="11"/>
      <c r="AN23" s="11"/>
      <c r="AO23" s="11"/>
      <c r="AP23" s="11"/>
      <c r="AQ23" s="16">
        <v>39512223</v>
      </c>
      <c r="AR23" s="16">
        <v>3678035</v>
      </c>
      <c r="AS23" s="11"/>
      <c r="AT23" s="11"/>
      <c r="AU23" s="11"/>
      <c r="AV23" s="11"/>
      <c r="AW23" s="11"/>
    </row>
    <row r="24" spans="1:49" ht="12.75" x14ac:dyDescent="0.2">
      <c r="A24" s="64" t="s">
        <v>5</v>
      </c>
      <c r="B24" s="12">
        <v>185.77041199999996</v>
      </c>
      <c r="C24" s="12">
        <f t="shared" si="2"/>
        <v>138.92624799999999</v>
      </c>
      <c r="D24" s="12">
        <f t="shared" si="7"/>
        <v>132.747715</v>
      </c>
      <c r="E24" s="12">
        <v>6.1785329999999998</v>
      </c>
      <c r="F24" s="12">
        <f t="shared" si="8"/>
        <v>37.018861000000001</v>
      </c>
      <c r="G24" s="12">
        <v>5.3045660000000003</v>
      </c>
      <c r="H24" s="13">
        <v>3.0148982430651144E-2</v>
      </c>
      <c r="I24" s="12">
        <v>152.35413500000001</v>
      </c>
      <c r="J24" s="13">
        <v>0.86591855758832159</v>
      </c>
      <c r="K24" s="26">
        <f t="shared" si="3"/>
        <v>18.286408000000002</v>
      </c>
      <c r="L24" s="60">
        <f t="shared" si="3"/>
        <v>0.10393245998102739</v>
      </c>
      <c r="M24" s="19">
        <v>0.18692461692753939</v>
      </c>
      <c r="N24" s="26">
        <v>601.59723551394586</v>
      </c>
      <c r="O24" s="85">
        <v>812900</v>
      </c>
      <c r="P24" s="86">
        <f>AL24/1000000</f>
        <v>29345.69</v>
      </c>
      <c r="Q24" s="86">
        <v>36100</v>
      </c>
      <c r="R24" s="19">
        <v>9.2999999999999999E-2</v>
      </c>
      <c r="S24" s="19">
        <v>7.2999999999999995E-2</v>
      </c>
      <c r="T24" s="102">
        <v>2327.1702123918699</v>
      </c>
      <c r="U24" s="82"/>
      <c r="V24" s="12">
        <v>132.36013299999999</v>
      </c>
      <c r="W24" s="12">
        <v>0.38758199999999998</v>
      </c>
      <c r="X24" s="12">
        <v>0</v>
      </c>
      <c r="Y24" s="12">
        <v>0</v>
      </c>
      <c r="Z24" s="12">
        <v>0</v>
      </c>
      <c r="AA24" s="12">
        <v>19.994001999999998</v>
      </c>
      <c r="AB24" s="12">
        <v>17.024858999999999</v>
      </c>
      <c r="AC24" s="12">
        <v>0</v>
      </c>
      <c r="AD24" s="12">
        <v>0</v>
      </c>
      <c r="AE24" s="13">
        <v>0</v>
      </c>
      <c r="AF24" s="12">
        <v>18.286408000000002</v>
      </c>
      <c r="AG24" s="13">
        <v>0.10393245998102739</v>
      </c>
      <c r="AH24" s="12">
        <v>0</v>
      </c>
      <c r="AI24" s="13">
        <v>0</v>
      </c>
      <c r="AJ24" s="12">
        <v>175.945109</v>
      </c>
      <c r="AK24" s="12">
        <f>('3-Fiscal Support for HE'!C24/1000000)-AJ24</f>
        <v>9.8253029999999626</v>
      </c>
      <c r="AL24" s="11">
        <v>29345690000</v>
      </c>
      <c r="AM24" s="11"/>
      <c r="AN24" s="11"/>
      <c r="AO24" s="11"/>
      <c r="AP24" s="11"/>
      <c r="AQ24" s="16">
        <v>5758736</v>
      </c>
      <c r="AR24" s="16">
        <v>526217</v>
      </c>
      <c r="AS24" s="11"/>
      <c r="AT24" s="11"/>
      <c r="AU24" s="11"/>
      <c r="AV24" s="11"/>
      <c r="AW24" s="11"/>
    </row>
    <row r="25" spans="1:49" ht="12.75" x14ac:dyDescent="0.2">
      <c r="A25" s="64" t="s">
        <v>6</v>
      </c>
      <c r="B25" s="12">
        <v>148.67818600000001</v>
      </c>
      <c r="C25" s="12">
        <f t="shared" si="2"/>
        <v>33.812594000000004</v>
      </c>
      <c r="D25" s="12">
        <f t="shared" si="7"/>
        <v>33.627594000000002</v>
      </c>
      <c r="E25" s="12">
        <v>0.185</v>
      </c>
      <c r="F25" s="12">
        <f t="shared" si="8"/>
        <v>114.86559200000001</v>
      </c>
      <c r="G25" s="12">
        <v>0</v>
      </c>
      <c r="H25" s="13">
        <v>0</v>
      </c>
      <c r="I25" s="12">
        <v>138.98472799999999</v>
      </c>
      <c r="J25" s="13">
        <v>0.93480241950221266</v>
      </c>
      <c r="K25" s="26">
        <f t="shared" si="3"/>
        <v>9.6934579999999997</v>
      </c>
      <c r="L25" s="60">
        <f t="shared" si="3"/>
        <v>6.5197580497787344E-2</v>
      </c>
      <c r="M25" s="19">
        <v>0.13136922181215258</v>
      </c>
      <c r="N25" s="26">
        <v>254.1364008748657</v>
      </c>
      <c r="O25" s="85">
        <v>538900</v>
      </c>
      <c r="P25" s="86">
        <f>AL25/1000000</f>
        <v>19238.73</v>
      </c>
      <c r="Q25" s="86">
        <v>35700</v>
      </c>
      <c r="R25" s="19">
        <v>8.5999999999999993E-2</v>
      </c>
      <c r="S25" s="19">
        <v>7.0999999999999994E-2</v>
      </c>
      <c r="T25" s="102">
        <v>2576.2802819910276</v>
      </c>
      <c r="U25" s="82"/>
      <c r="V25" s="12">
        <v>24.119136000000001</v>
      </c>
      <c r="W25" s="12">
        <v>9.5084579999999992</v>
      </c>
      <c r="X25" s="12">
        <v>0</v>
      </c>
      <c r="Y25" s="12">
        <v>0</v>
      </c>
      <c r="Z25" s="12">
        <v>0</v>
      </c>
      <c r="AA25" s="12">
        <v>0</v>
      </c>
      <c r="AB25" s="12">
        <v>114.86559200000001</v>
      </c>
      <c r="AC25" s="12">
        <v>0</v>
      </c>
      <c r="AD25" s="12">
        <v>9.5084579999999992</v>
      </c>
      <c r="AE25" s="13">
        <v>6.395328229253483E-2</v>
      </c>
      <c r="AF25" s="12">
        <v>0.185</v>
      </c>
      <c r="AG25" s="13">
        <v>1.2442982052525179E-3</v>
      </c>
      <c r="AH25" s="12">
        <v>0</v>
      </c>
      <c r="AI25" s="13">
        <v>0</v>
      </c>
      <c r="AJ25" s="12">
        <v>148.67818599999998</v>
      </c>
      <c r="AK25" s="12">
        <f>('3-Fiscal Support for HE'!C25/1000000)-AJ25</f>
        <v>0</v>
      </c>
      <c r="AL25" s="11">
        <v>19238730000</v>
      </c>
      <c r="AM25" s="11"/>
      <c r="AN25" s="11"/>
      <c r="AO25" s="11"/>
      <c r="AP25" s="11"/>
      <c r="AQ25" s="16">
        <v>3565287</v>
      </c>
      <c r="AR25" s="16">
        <v>342073</v>
      </c>
      <c r="AS25" s="11"/>
      <c r="AT25" s="11"/>
      <c r="AU25" s="11"/>
      <c r="AV25" s="11"/>
      <c r="AW25" s="11"/>
    </row>
    <row r="26" spans="1:49" ht="12.75" x14ac:dyDescent="0.2">
      <c r="A26" s="64" t="s">
        <v>10</v>
      </c>
      <c r="B26" s="12">
        <v>5.6480009999999998</v>
      </c>
      <c r="C26" s="12">
        <f t="shared" si="2"/>
        <v>4.6354629999999997</v>
      </c>
      <c r="D26" s="12">
        <f t="shared" si="7"/>
        <v>4.6354629999999997</v>
      </c>
      <c r="E26" s="12">
        <v>0</v>
      </c>
      <c r="F26" s="12">
        <f t="shared" si="8"/>
        <v>1.0125379999999999</v>
      </c>
      <c r="G26" s="12">
        <v>0</v>
      </c>
      <c r="H26" s="13">
        <v>0</v>
      </c>
      <c r="I26" s="12">
        <v>2.6530010000000002</v>
      </c>
      <c r="J26" s="13">
        <v>0.46972388992140757</v>
      </c>
      <c r="K26" s="26">
        <f t="shared" si="3"/>
        <v>2.9950000000000001</v>
      </c>
      <c r="L26" s="60">
        <f t="shared" si="3"/>
        <v>0.53027611007859232</v>
      </c>
      <c r="M26" s="19">
        <v>7.2629288343522983E-3</v>
      </c>
      <c r="N26" s="26">
        <v>115.03816850725896</v>
      </c>
      <c r="O26" s="85">
        <v>128800</v>
      </c>
      <c r="P26" s="86">
        <f>AL26/1000000</f>
        <v>4495.12</v>
      </c>
      <c r="Q26" s="86">
        <v>34900</v>
      </c>
      <c r="R26" s="19">
        <v>0.107</v>
      </c>
      <c r="S26" s="19">
        <v>9.4E-2</v>
      </c>
      <c r="T26" s="102">
        <v>1190.466618287373</v>
      </c>
      <c r="U26" s="82"/>
      <c r="V26" s="12">
        <v>1.640463</v>
      </c>
      <c r="W26" s="12">
        <v>2.9950000000000001</v>
      </c>
      <c r="X26" s="12">
        <v>1.0125379999999999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2.9950000000000001</v>
      </c>
      <c r="AE26" s="13">
        <v>0.53027611007859232</v>
      </c>
      <c r="AF26" s="12">
        <v>0</v>
      </c>
      <c r="AG26" s="13">
        <v>0</v>
      </c>
      <c r="AH26" s="12">
        <v>0</v>
      </c>
      <c r="AI26" s="13">
        <v>0</v>
      </c>
      <c r="AJ26" s="12">
        <v>5.6480010000000007</v>
      </c>
      <c r="AK26" s="12">
        <f>('3-Fiscal Support for HE'!C26/1000000)-AJ26</f>
        <v>0</v>
      </c>
      <c r="AL26" s="11">
        <v>4495120000</v>
      </c>
      <c r="AM26" s="11"/>
      <c r="AN26" s="11"/>
      <c r="AO26" s="11"/>
      <c r="AP26" s="11"/>
      <c r="AQ26" s="16">
        <v>1415872</v>
      </c>
      <c r="AR26" s="16">
        <v>118874</v>
      </c>
      <c r="AS26" s="11"/>
      <c r="AT26" s="11"/>
      <c r="AU26" s="11"/>
      <c r="AV26" s="11"/>
      <c r="AW26" s="11"/>
    </row>
    <row r="27" spans="1:49" ht="12.75" x14ac:dyDescent="0.2">
      <c r="A27" s="64" t="s">
        <v>11</v>
      </c>
      <c r="B27" s="12">
        <v>15.503735000000001</v>
      </c>
      <c r="C27" s="12">
        <f t="shared" si="2"/>
        <v>14.317735000000001</v>
      </c>
      <c r="D27" s="12">
        <f t="shared" si="7"/>
        <v>14.018558000000001</v>
      </c>
      <c r="E27" s="12">
        <v>0.29917700000000003</v>
      </c>
      <c r="F27" s="12">
        <f t="shared" si="8"/>
        <v>1.1859999999999999</v>
      </c>
      <c r="G27" s="12">
        <v>0</v>
      </c>
      <c r="H27" s="13">
        <v>0</v>
      </c>
      <c r="I27" s="12">
        <v>1.1859999999999999</v>
      </c>
      <c r="J27" s="13">
        <v>7.6497695555296827E-2</v>
      </c>
      <c r="K27" s="26">
        <f t="shared" si="3"/>
        <v>14.317735000000001</v>
      </c>
      <c r="L27" s="60">
        <f t="shared" si="3"/>
        <v>0.92350230444470305</v>
      </c>
      <c r="M27" s="19">
        <v>3.0825298650038007E-2</v>
      </c>
      <c r="N27" s="26">
        <v>178.36080175399258</v>
      </c>
      <c r="O27" s="85">
        <v>219900</v>
      </c>
      <c r="P27" s="86">
        <f>AL27/1000000</f>
        <v>7366.65</v>
      </c>
      <c r="Q27" s="86">
        <v>33500</v>
      </c>
      <c r="R27" s="19">
        <v>9.4E-2</v>
      </c>
      <c r="S27" s="19">
        <v>7.0999999999999994E-2</v>
      </c>
      <c r="T27" s="102">
        <v>3254.0756731662023</v>
      </c>
      <c r="U27" s="82"/>
      <c r="V27" s="12">
        <v>14.018558000000001</v>
      </c>
      <c r="W27" s="12">
        <v>0</v>
      </c>
      <c r="X27" s="12">
        <v>0</v>
      </c>
      <c r="Y27" s="12">
        <v>0</v>
      </c>
      <c r="Z27" s="12">
        <v>0</v>
      </c>
      <c r="AA27" s="12">
        <v>1.1859999999999999</v>
      </c>
      <c r="AB27" s="12">
        <v>0</v>
      </c>
      <c r="AC27" s="12">
        <v>0</v>
      </c>
      <c r="AD27" s="12">
        <v>14.018558000000001</v>
      </c>
      <c r="AE27" s="13">
        <v>0.90420521248589447</v>
      </c>
      <c r="AF27" s="12">
        <v>0.18562699999999999</v>
      </c>
      <c r="AG27" s="13">
        <v>1.1973050364960443E-2</v>
      </c>
      <c r="AH27" s="12">
        <v>0.11355</v>
      </c>
      <c r="AI27" s="13">
        <v>7.3240415938481919E-3</v>
      </c>
      <c r="AJ27" s="12">
        <v>15.503735000000001</v>
      </c>
      <c r="AK27" s="12">
        <f>('3-Fiscal Support for HE'!C27/1000000)-AJ27</f>
        <v>0</v>
      </c>
      <c r="AL27" s="11">
        <v>7366650000</v>
      </c>
      <c r="AM27" s="11"/>
      <c r="AN27" s="11"/>
      <c r="AO27" s="11"/>
      <c r="AP27" s="11"/>
      <c r="AQ27" s="16">
        <v>1787065</v>
      </c>
      <c r="AR27" s="16">
        <v>164406</v>
      </c>
      <c r="AS27" s="11"/>
      <c r="AT27" s="11"/>
      <c r="AU27" s="11"/>
      <c r="AV27" s="11"/>
      <c r="AW27" s="11"/>
    </row>
    <row r="28" spans="1:49" ht="12.75" x14ac:dyDescent="0.2">
      <c r="A28" s="64" t="s">
        <v>12</v>
      </c>
      <c r="B28" s="12">
        <v>397.81627299999997</v>
      </c>
      <c r="C28" s="12">
        <f t="shared" si="2"/>
        <v>393.19275699999997</v>
      </c>
      <c r="D28" s="12">
        <f t="shared" si="7"/>
        <v>392.33930599999997</v>
      </c>
      <c r="E28" s="12">
        <v>0.85345099999999996</v>
      </c>
      <c r="F28" s="12">
        <f t="shared" si="8"/>
        <v>4.5735159999999997</v>
      </c>
      <c r="G28" s="12">
        <v>0</v>
      </c>
      <c r="H28" s="13">
        <v>0</v>
      </c>
      <c r="I28" s="12">
        <v>392.33930600000002</v>
      </c>
      <c r="J28" s="13">
        <v>0.98970939798744562</v>
      </c>
      <c r="K28" s="26">
        <f t="shared" si="3"/>
        <v>4.0793869999999997</v>
      </c>
      <c r="L28" s="60">
        <f t="shared" si="3"/>
        <v>1.0290602012554436E-2</v>
      </c>
      <c r="M28" s="19">
        <v>9.5049422343407353E-2</v>
      </c>
      <c r="N28" s="26">
        <v>890.88044490464551</v>
      </c>
      <c r="O28" s="85">
        <v>1715900</v>
      </c>
      <c r="P28" s="86">
        <f>AL28/1000000</f>
        <v>64003.07</v>
      </c>
      <c r="Q28" s="86">
        <v>37300</v>
      </c>
      <c r="R28" s="19">
        <v>9.1999999999999998E-2</v>
      </c>
      <c r="S28" s="19">
        <v>7.6999999999999999E-2</v>
      </c>
      <c r="T28" s="102">
        <v>3043.8284716563844</v>
      </c>
      <c r="U28" s="82"/>
      <c r="V28" s="12">
        <v>392.24295599999999</v>
      </c>
      <c r="W28" s="12">
        <v>9.6350000000000005E-2</v>
      </c>
      <c r="X28" s="12">
        <v>0</v>
      </c>
      <c r="Y28" s="12">
        <v>0.73029999999999995</v>
      </c>
      <c r="Z28" s="12">
        <v>3.843216</v>
      </c>
      <c r="AA28" s="12">
        <v>0</v>
      </c>
      <c r="AB28" s="12">
        <v>0</v>
      </c>
      <c r="AC28" s="12">
        <v>0</v>
      </c>
      <c r="AD28" s="12">
        <v>0</v>
      </c>
      <c r="AE28" s="13">
        <v>0</v>
      </c>
      <c r="AF28" s="12">
        <v>4.0793869999999997</v>
      </c>
      <c r="AG28" s="13">
        <v>1.0290602012554436E-2</v>
      </c>
      <c r="AH28" s="12">
        <v>0</v>
      </c>
      <c r="AI28" s="13">
        <v>0</v>
      </c>
      <c r="AJ28" s="12">
        <v>396.41869300000002</v>
      </c>
      <c r="AK28" s="12">
        <f>('3-Fiscal Support for HE'!C28/1000000)-AJ28</f>
        <v>1.3975799999999481</v>
      </c>
      <c r="AL28" s="11">
        <v>64003070000</v>
      </c>
      <c r="AM28" s="11"/>
      <c r="AN28" s="11"/>
      <c r="AO28" s="11"/>
      <c r="AP28" s="11"/>
      <c r="AQ28" s="16">
        <v>12671821</v>
      </c>
      <c r="AR28" s="16">
        <v>1157411</v>
      </c>
      <c r="AS28" s="11"/>
      <c r="AT28" s="11"/>
      <c r="AU28" s="11"/>
      <c r="AV28" s="11"/>
      <c r="AW28" s="11"/>
    </row>
    <row r="29" spans="1:49" ht="12.75" x14ac:dyDescent="0.2">
      <c r="A29" s="64" t="s">
        <v>13</v>
      </c>
      <c r="B29" s="12">
        <v>372.99011200000001</v>
      </c>
      <c r="C29" s="12">
        <f t="shared" si="2"/>
        <v>336.25440200000003</v>
      </c>
      <c r="D29" s="12">
        <f t="shared" si="7"/>
        <v>326.64924600000001</v>
      </c>
      <c r="E29" s="12">
        <v>9.6051559999999991</v>
      </c>
      <c r="F29" s="12">
        <f t="shared" si="8"/>
        <v>36.735709999999997</v>
      </c>
      <c r="G29" s="12">
        <v>0</v>
      </c>
      <c r="H29" s="13">
        <v>0</v>
      </c>
      <c r="I29" s="12">
        <v>326.27888400000001</v>
      </c>
      <c r="J29" s="13">
        <v>0.88188229072351898</v>
      </c>
      <c r="K29" s="26">
        <f t="shared" si="3"/>
        <v>43.7012</v>
      </c>
      <c r="L29" s="60">
        <f t="shared" si="3"/>
        <v>0.11811770927648094</v>
      </c>
      <c r="M29" s="19">
        <v>0.20964608088608652</v>
      </c>
      <c r="N29" s="26">
        <v>1261.2551321628039</v>
      </c>
      <c r="O29" s="85">
        <v>936600</v>
      </c>
      <c r="P29" s="86">
        <f>AL29/1000000</f>
        <v>30158.52</v>
      </c>
      <c r="Q29" s="86">
        <v>32200</v>
      </c>
      <c r="R29" s="19">
        <v>0.12</v>
      </c>
      <c r="S29" s="19">
        <v>0.10100000000000001</v>
      </c>
      <c r="T29" s="102">
        <v>4125.4626205899522</v>
      </c>
      <c r="U29" s="82"/>
      <c r="V29" s="12">
        <v>148.38876500000001</v>
      </c>
      <c r="W29" s="12">
        <v>178.260481</v>
      </c>
      <c r="X29" s="12">
        <v>0</v>
      </c>
      <c r="Y29" s="12">
        <v>0</v>
      </c>
      <c r="Z29" s="12">
        <v>3.8665980000000002</v>
      </c>
      <c r="AA29" s="12">
        <v>0.84063900000000003</v>
      </c>
      <c r="AB29" s="12">
        <v>31.528483000000001</v>
      </c>
      <c r="AC29" s="12">
        <v>0.49998999999999999</v>
      </c>
      <c r="AD29" s="12">
        <v>0</v>
      </c>
      <c r="AE29" s="13">
        <v>0</v>
      </c>
      <c r="AF29" s="12">
        <v>43.7012</v>
      </c>
      <c r="AG29" s="13">
        <v>0.11811770927648094</v>
      </c>
      <c r="AH29" s="12">
        <v>0</v>
      </c>
      <c r="AI29" s="13">
        <v>0</v>
      </c>
      <c r="AJ29" s="12">
        <v>369.98008400000003</v>
      </c>
      <c r="AK29" s="12">
        <f>('3-Fiscal Support for HE'!C29/1000000)-AJ29</f>
        <v>3.0100279999999771</v>
      </c>
      <c r="AL29" s="11">
        <v>30158520000</v>
      </c>
      <c r="AM29" s="11"/>
      <c r="AN29" s="11"/>
      <c r="AO29" s="11"/>
      <c r="AP29" s="11"/>
      <c r="AQ29" s="16">
        <v>6732219</v>
      </c>
      <c r="AR29" s="16">
        <v>659745</v>
      </c>
      <c r="AS29" s="11"/>
      <c r="AT29" s="11"/>
      <c r="AU29" s="11"/>
      <c r="AV29" s="11"/>
      <c r="AW29" s="11"/>
    </row>
    <row r="30" spans="1:49" ht="12.75" x14ac:dyDescent="0.2">
      <c r="A30" s="64" t="s">
        <v>14</v>
      </c>
      <c r="B30" s="12">
        <v>62.554808999999999</v>
      </c>
      <c r="C30" s="12">
        <f t="shared" si="2"/>
        <v>60.604295</v>
      </c>
      <c r="D30" s="12">
        <f t="shared" si="7"/>
        <v>56.433990000000001</v>
      </c>
      <c r="E30" s="12">
        <v>4.1703049999999999</v>
      </c>
      <c r="F30" s="12">
        <f t="shared" si="8"/>
        <v>1.9505140000000001</v>
      </c>
      <c r="G30" s="12">
        <v>0</v>
      </c>
      <c r="H30" s="13">
        <v>0</v>
      </c>
      <c r="I30" s="12">
        <v>56.433990000000001</v>
      </c>
      <c r="J30" s="13">
        <v>0.93118796283332728</v>
      </c>
      <c r="K30" s="26">
        <f t="shared" si="3"/>
        <v>4.1703049999999999</v>
      </c>
      <c r="L30" s="60">
        <f t="shared" si="3"/>
        <v>6.8812037166672751E-2</v>
      </c>
      <c r="M30" s="19">
        <v>7.6705592467258513E-2</v>
      </c>
      <c r="N30" s="26">
        <v>402.38422314142872</v>
      </c>
      <c r="O30" s="85">
        <v>462400</v>
      </c>
      <c r="P30" s="86">
        <f>AL30/1000000</f>
        <v>13687.04</v>
      </c>
      <c r="Q30" s="86">
        <v>29600</v>
      </c>
      <c r="R30" s="19">
        <v>9.1999999999999998E-2</v>
      </c>
      <c r="S30" s="19">
        <v>8.8999999999999996E-2</v>
      </c>
      <c r="T30" s="102">
        <v>4610.4502327423988</v>
      </c>
      <c r="U30" s="82"/>
      <c r="V30" s="12">
        <v>46.551715999999999</v>
      </c>
      <c r="W30" s="12">
        <v>9.8822740000000007</v>
      </c>
      <c r="X30" s="12">
        <v>0</v>
      </c>
      <c r="Y30" s="12">
        <v>1.9505140000000001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3">
        <v>0</v>
      </c>
      <c r="AF30" s="12">
        <v>4.1703049999999999</v>
      </c>
      <c r="AG30" s="13">
        <v>6.8812037166672751E-2</v>
      </c>
      <c r="AH30" s="12">
        <v>0</v>
      </c>
      <c r="AI30" s="13">
        <v>0</v>
      </c>
      <c r="AJ30" s="12">
        <v>60.604295</v>
      </c>
      <c r="AK30" s="12">
        <f>('3-Fiscal Support for HE'!C30/1000000)-AJ30</f>
        <v>1.9505139999999983</v>
      </c>
      <c r="AL30" s="11">
        <v>13687040000</v>
      </c>
      <c r="AM30" s="11"/>
      <c r="AN30" s="11"/>
      <c r="AO30" s="11"/>
      <c r="AP30" s="11"/>
      <c r="AQ30" s="16">
        <v>3155070</v>
      </c>
      <c r="AR30" s="16">
        <v>313705</v>
      </c>
      <c r="AS30" s="11"/>
      <c r="AT30" s="11"/>
      <c r="AU30" s="11"/>
      <c r="AV30" s="11"/>
      <c r="AW30" s="11"/>
    </row>
    <row r="31" spans="1:49" ht="12.75" x14ac:dyDescent="0.2">
      <c r="A31" s="64" t="s">
        <v>15</v>
      </c>
      <c r="B31" s="12">
        <v>22.440522999999999</v>
      </c>
      <c r="C31" s="12">
        <f t="shared" si="2"/>
        <v>17.690541</v>
      </c>
      <c r="D31" s="12">
        <f t="shared" si="7"/>
        <v>17.690541</v>
      </c>
      <c r="E31" s="12">
        <v>0</v>
      </c>
      <c r="F31" s="12">
        <f t="shared" si="8"/>
        <v>4.7499820000000001</v>
      </c>
      <c r="G31" s="12">
        <v>0</v>
      </c>
      <c r="H31" s="13">
        <v>0</v>
      </c>
      <c r="I31" s="12">
        <v>15.958746</v>
      </c>
      <c r="J31" s="13">
        <v>0.80886769088040511</v>
      </c>
      <c r="K31" s="26">
        <f t="shared" si="3"/>
        <v>3.7709900000000003</v>
      </c>
      <c r="L31" s="60">
        <f t="shared" si="3"/>
        <v>0.19113230911959495</v>
      </c>
      <c r="M31" s="19">
        <v>2.7840899819143453E-2</v>
      </c>
      <c r="N31" s="26">
        <v>128.26389362180348</v>
      </c>
      <c r="O31" s="85">
        <v>392600</v>
      </c>
      <c r="P31" s="86">
        <f>AL31/1000000</f>
        <v>12798.76</v>
      </c>
      <c r="Q31" s="86">
        <v>32600</v>
      </c>
      <c r="R31" s="19">
        <v>0.104</v>
      </c>
      <c r="S31" s="19">
        <v>9.4E-2</v>
      </c>
      <c r="T31" s="102">
        <v>1712.8628260869566</v>
      </c>
      <c r="U31" s="82"/>
      <c r="V31" s="12">
        <v>15.758338</v>
      </c>
      <c r="W31" s="12">
        <v>1.9322029999999999</v>
      </c>
      <c r="X31" s="12">
        <v>0</v>
      </c>
      <c r="Y31" s="12">
        <v>0</v>
      </c>
      <c r="Z31" s="12">
        <v>3.642045</v>
      </c>
      <c r="AA31" s="12">
        <v>1.1079369999999999</v>
      </c>
      <c r="AB31" s="12">
        <v>0</v>
      </c>
      <c r="AC31" s="12">
        <v>0</v>
      </c>
      <c r="AD31" s="12">
        <v>1.556945</v>
      </c>
      <c r="AE31" s="13">
        <v>7.8913625605532695E-2</v>
      </c>
      <c r="AF31" s="12">
        <v>2.214045</v>
      </c>
      <c r="AG31" s="13">
        <v>0.11221868351406224</v>
      </c>
      <c r="AH31" s="12">
        <v>0</v>
      </c>
      <c r="AI31" s="13">
        <v>0</v>
      </c>
      <c r="AJ31" s="12">
        <v>19.729735999999999</v>
      </c>
      <c r="AK31" s="12">
        <f>('3-Fiscal Support for HE'!C31/1000000)-AJ31</f>
        <v>2.7107869999999998</v>
      </c>
      <c r="AL31" s="11">
        <v>12798760000</v>
      </c>
      <c r="AM31" s="11"/>
      <c r="AN31" s="11"/>
      <c r="AO31" s="11"/>
      <c r="AP31" s="11"/>
      <c r="AQ31" s="16">
        <v>2913314</v>
      </c>
      <c r="AR31" s="16">
        <v>294160</v>
      </c>
      <c r="AS31" s="11"/>
      <c r="AT31" s="11"/>
      <c r="AU31" s="11"/>
      <c r="AV31" s="11"/>
      <c r="AW31" s="11"/>
    </row>
    <row r="32" spans="1:49" ht="12.75" x14ac:dyDescent="0.2">
      <c r="A32" s="64" t="s">
        <v>18</v>
      </c>
      <c r="B32" s="12">
        <v>17.544789999999999</v>
      </c>
      <c r="C32" s="12">
        <f t="shared" si="2"/>
        <v>14.99779</v>
      </c>
      <c r="D32" s="12">
        <f t="shared" si="7"/>
        <v>14.99779</v>
      </c>
      <c r="E32" s="12">
        <v>0</v>
      </c>
      <c r="F32" s="12">
        <f t="shared" si="8"/>
        <v>1.722</v>
      </c>
      <c r="G32" s="12">
        <v>0</v>
      </c>
      <c r="H32" s="13">
        <v>0</v>
      </c>
      <c r="I32" s="12">
        <v>14.99779</v>
      </c>
      <c r="J32" s="13">
        <v>0.98357192839328211</v>
      </c>
      <c r="K32" s="26">
        <f t="shared" si="3"/>
        <v>0.2505</v>
      </c>
      <c r="L32" s="60">
        <f t="shared" si="3"/>
        <v>1.6428071606717866E-2</v>
      </c>
      <c r="M32" s="19">
        <v>5.6967579604297387E-2</v>
      </c>
      <c r="N32" s="26">
        <v>318.55968564146133</v>
      </c>
      <c r="O32" s="85">
        <v>206100</v>
      </c>
      <c r="P32" s="86">
        <f>AL32/1000000</f>
        <v>6636.42</v>
      </c>
      <c r="Q32" s="86">
        <v>32200</v>
      </c>
      <c r="R32" s="19">
        <v>8.5000000000000006E-2</v>
      </c>
      <c r="S32" s="19">
        <v>7.2999999999999995E-2</v>
      </c>
      <c r="T32" s="102">
        <v>1171.7938901476678</v>
      </c>
      <c r="U32" s="82"/>
      <c r="V32" s="12">
        <v>14.99779</v>
      </c>
      <c r="W32" s="12">
        <v>0</v>
      </c>
      <c r="X32" s="12">
        <v>0</v>
      </c>
      <c r="Y32" s="12">
        <v>1.3420000000000001</v>
      </c>
      <c r="Z32" s="12">
        <v>0.38</v>
      </c>
      <c r="AA32" s="12">
        <v>0</v>
      </c>
      <c r="AB32" s="12">
        <v>0</v>
      </c>
      <c r="AC32" s="12">
        <v>0</v>
      </c>
      <c r="AD32" s="12">
        <v>0</v>
      </c>
      <c r="AE32" s="13">
        <v>0</v>
      </c>
      <c r="AF32" s="12">
        <v>0.2505</v>
      </c>
      <c r="AG32" s="13">
        <v>1.6428071606717866E-2</v>
      </c>
      <c r="AH32" s="12">
        <v>0</v>
      </c>
      <c r="AI32" s="13">
        <v>0</v>
      </c>
      <c r="AJ32" s="12">
        <v>15.248290000000001</v>
      </c>
      <c r="AK32" s="12">
        <f>('3-Fiscal Support for HE'!C32/1000000)-AJ32</f>
        <v>2.2964999999999982</v>
      </c>
      <c r="AL32" s="11">
        <v>6636420000</v>
      </c>
      <c r="AM32" s="11"/>
      <c r="AN32" s="11"/>
      <c r="AO32" s="11"/>
      <c r="AP32" s="11"/>
      <c r="AQ32" s="16">
        <v>1344212</v>
      </c>
      <c r="AR32" s="16">
        <v>106932</v>
      </c>
      <c r="AS32" s="11"/>
      <c r="AT32" s="11"/>
      <c r="AU32" s="11"/>
      <c r="AV32" s="11"/>
      <c r="AW32" s="11"/>
    </row>
    <row r="33" spans="1:49" ht="12.75" x14ac:dyDescent="0.2">
      <c r="A33" s="64" t="s">
        <v>20</v>
      </c>
      <c r="B33" s="12">
        <v>145.97281600000002</v>
      </c>
      <c r="C33" s="12">
        <f t="shared" si="2"/>
        <v>102.07942200000001</v>
      </c>
      <c r="D33" s="12">
        <f t="shared" si="7"/>
        <v>100.10652</v>
      </c>
      <c r="E33" s="12">
        <v>1.9729019999999999</v>
      </c>
      <c r="F33" s="12">
        <f t="shared" si="8"/>
        <v>43.893394000000001</v>
      </c>
      <c r="G33" s="12">
        <v>0</v>
      </c>
      <c r="H33" s="13">
        <v>0</v>
      </c>
      <c r="I33" s="12">
        <v>91.06935</v>
      </c>
      <c r="J33" s="13">
        <v>0.62387883234368791</v>
      </c>
      <c r="K33" s="26">
        <f t="shared" si="3"/>
        <v>54.903466000000002</v>
      </c>
      <c r="L33" s="60">
        <f t="shared" si="3"/>
        <v>0.37612116765631215</v>
      </c>
      <c r="M33" s="19">
        <v>9.0876756133363434E-2</v>
      </c>
      <c r="N33" s="26">
        <v>335.81076982291546</v>
      </c>
      <c r="O33" s="85">
        <v>1044400</v>
      </c>
      <c r="P33" s="86">
        <f>AL33/1000000</f>
        <v>35927.360000000001</v>
      </c>
      <c r="Q33" s="86">
        <v>34400</v>
      </c>
      <c r="R33" s="19">
        <v>7.0999999999999994E-2</v>
      </c>
      <c r="S33" s="19">
        <v>6.3E-2</v>
      </c>
      <c r="T33" s="102">
        <v>999.59451181911618</v>
      </c>
      <c r="U33" s="82"/>
      <c r="V33" s="12">
        <v>48.630273000000003</v>
      </c>
      <c r="W33" s="12">
        <v>51.476247000000001</v>
      </c>
      <c r="X33" s="12">
        <v>4.3921999999999999</v>
      </c>
      <c r="Y33" s="12">
        <v>0</v>
      </c>
      <c r="Z33" s="12">
        <v>0</v>
      </c>
      <c r="AA33" s="12">
        <v>0</v>
      </c>
      <c r="AB33" s="12">
        <v>39.501193999999998</v>
      </c>
      <c r="AC33" s="12">
        <v>0</v>
      </c>
      <c r="AD33" s="12">
        <v>0</v>
      </c>
      <c r="AE33" s="13">
        <v>0</v>
      </c>
      <c r="AF33" s="12">
        <v>54.903466000000002</v>
      </c>
      <c r="AG33" s="13">
        <v>0.37612116765631215</v>
      </c>
      <c r="AH33" s="12">
        <v>0</v>
      </c>
      <c r="AI33" s="13">
        <v>0</v>
      </c>
      <c r="AJ33" s="12">
        <v>145.97281599999999</v>
      </c>
      <c r="AK33" s="12">
        <f>('3-Fiscal Support for HE'!C33/1000000)-AJ33</f>
        <v>0</v>
      </c>
      <c r="AL33" s="11">
        <v>35927360000</v>
      </c>
      <c r="AM33" s="11"/>
      <c r="AN33" s="11"/>
      <c r="AO33" s="11"/>
      <c r="AP33" s="11"/>
      <c r="AQ33" s="16">
        <v>6892503</v>
      </c>
      <c r="AR33" s="16">
        <v>690721</v>
      </c>
      <c r="AS33" s="11"/>
      <c r="AT33" s="11"/>
      <c r="AU33" s="11"/>
      <c r="AV33" s="11"/>
      <c r="AW33" s="11"/>
    </row>
    <row r="34" spans="1:49" ht="12.75" x14ac:dyDescent="0.2">
      <c r="A34" s="64" t="s">
        <v>21</v>
      </c>
      <c r="B34" s="12">
        <v>121.639</v>
      </c>
      <c r="C34" s="12">
        <f t="shared" si="2"/>
        <v>121.569334</v>
      </c>
      <c r="D34" s="12">
        <f t="shared" si="7"/>
        <v>120.475168</v>
      </c>
      <c r="E34" s="12">
        <v>1.094166</v>
      </c>
      <c r="F34" s="12">
        <f t="shared" si="8"/>
        <v>6.9666000000000006E-2</v>
      </c>
      <c r="G34" s="12">
        <v>0</v>
      </c>
      <c r="H34" s="13">
        <v>0</v>
      </c>
      <c r="I34" s="12">
        <v>85.797783999999993</v>
      </c>
      <c r="J34" s="13">
        <v>0.70534765987882175</v>
      </c>
      <c r="K34" s="26">
        <f t="shared" si="3"/>
        <v>35.841216000000003</v>
      </c>
      <c r="L34" s="60">
        <f t="shared" si="3"/>
        <v>0.2946523401211783</v>
      </c>
      <c r="M34" s="19">
        <v>6.2237847645674423E-2</v>
      </c>
      <c r="N34" s="26">
        <v>341.92005602603297</v>
      </c>
      <c r="O34" s="85">
        <v>1440600</v>
      </c>
      <c r="P34" s="86">
        <f>AL34/1000000</f>
        <v>51429.42</v>
      </c>
      <c r="Q34" s="86">
        <v>35700</v>
      </c>
      <c r="R34" s="19">
        <v>0.115</v>
      </c>
      <c r="S34" s="19">
        <v>8.8999999999999996E-2</v>
      </c>
      <c r="T34" s="102">
        <v>1128.4537585421413</v>
      </c>
      <c r="U34" s="82"/>
      <c r="V34" s="12">
        <v>34.677384000000004</v>
      </c>
      <c r="W34" s="12">
        <v>85.797783999999993</v>
      </c>
      <c r="X34" s="12">
        <v>0</v>
      </c>
      <c r="Y34" s="12">
        <v>0</v>
      </c>
      <c r="Z34" s="12">
        <v>0</v>
      </c>
      <c r="AA34" s="12">
        <v>0</v>
      </c>
      <c r="AB34" s="12">
        <v>6.9666000000000006E-2</v>
      </c>
      <c r="AC34" s="12">
        <v>0</v>
      </c>
      <c r="AD34" s="12">
        <v>34.677384000000004</v>
      </c>
      <c r="AE34" s="13">
        <v>0.28508442193704325</v>
      </c>
      <c r="AF34" s="12">
        <v>1.163832</v>
      </c>
      <c r="AG34" s="13">
        <v>9.5679181841350231E-3</v>
      </c>
      <c r="AH34" s="12">
        <v>0</v>
      </c>
      <c r="AI34" s="13">
        <v>0</v>
      </c>
      <c r="AJ34" s="12">
        <v>121.639</v>
      </c>
      <c r="AK34" s="12">
        <f>('3-Fiscal Support for HE'!C34/1000000)-AJ34</f>
        <v>0</v>
      </c>
      <c r="AL34" s="11">
        <v>51429420000</v>
      </c>
      <c r="AM34" s="11"/>
      <c r="AN34" s="11"/>
      <c r="AO34" s="11"/>
      <c r="AP34" s="11"/>
      <c r="AQ34" s="16">
        <v>9986857</v>
      </c>
      <c r="AR34" s="16">
        <v>945523</v>
      </c>
      <c r="AS34" s="11"/>
      <c r="AT34" s="11"/>
      <c r="AU34" s="11"/>
      <c r="AV34" s="11"/>
      <c r="AW34" s="11"/>
    </row>
    <row r="35" spans="1:49" ht="12.75" x14ac:dyDescent="0.2">
      <c r="A35" s="64" t="s">
        <v>22</v>
      </c>
      <c r="B35" s="12">
        <v>302.40799600000003</v>
      </c>
      <c r="C35" s="12">
        <f t="shared" si="2"/>
        <v>218.14478000000003</v>
      </c>
      <c r="D35" s="12">
        <f t="shared" si="7"/>
        <v>216.75797500000002</v>
      </c>
      <c r="E35" s="12">
        <v>1.3868050000000001</v>
      </c>
      <c r="F35" s="12">
        <f t="shared" si="8"/>
        <v>80.823598000000004</v>
      </c>
      <c r="G35" s="12">
        <v>0</v>
      </c>
      <c r="H35" s="13">
        <v>0</v>
      </c>
      <c r="I35" s="12">
        <v>225.17347699999999</v>
      </c>
      <c r="J35" s="13">
        <v>0.75689764302513429</v>
      </c>
      <c r="K35" s="26">
        <f t="shared" si="3"/>
        <v>72.321804</v>
      </c>
      <c r="L35" s="60">
        <f t="shared" si="3"/>
        <v>0.24310235697486579</v>
      </c>
      <c r="M35" s="19">
        <v>0.18546288816466511</v>
      </c>
      <c r="N35" s="26">
        <v>1002.9645057471266</v>
      </c>
      <c r="O35" s="85">
        <v>902400</v>
      </c>
      <c r="P35" s="86">
        <f>AL35/1000000</f>
        <v>28967.040000000001</v>
      </c>
      <c r="Q35" s="86">
        <v>32100</v>
      </c>
      <c r="R35" s="19">
        <v>7.6999999999999999E-2</v>
      </c>
      <c r="S35" s="19">
        <v>7.2999999999999995E-2</v>
      </c>
      <c r="T35" s="102">
        <v>2602.5199423595013</v>
      </c>
      <c r="U35" s="82"/>
      <c r="V35" s="12">
        <v>207.69410400000001</v>
      </c>
      <c r="W35" s="12">
        <v>9.0638710000000007</v>
      </c>
      <c r="X35" s="12">
        <v>65.770494999999997</v>
      </c>
      <c r="Y35" s="12">
        <v>0</v>
      </c>
      <c r="Z35" s="12">
        <v>0</v>
      </c>
      <c r="AA35" s="12">
        <v>15.053103</v>
      </c>
      <c r="AB35" s="12">
        <v>0</v>
      </c>
      <c r="AC35" s="12">
        <v>0</v>
      </c>
      <c r="AD35" s="12">
        <v>0</v>
      </c>
      <c r="AE35" s="13">
        <v>0</v>
      </c>
      <c r="AF35" s="12">
        <v>8.0244060000000008</v>
      </c>
      <c r="AG35" s="13">
        <v>2.6973221131531163E-2</v>
      </c>
      <c r="AH35" s="12">
        <v>64.297398000000001</v>
      </c>
      <c r="AI35" s="13">
        <v>0.21612913584333462</v>
      </c>
      <c r="AJ35" s="12">
        <v>297.49528099999998</v>
      </c>
      <c r="AK35" s="12">
        <f>('3-Fiscal Support for HE'!C35/1000000)-AJ35</f>
        <v>4.9127150000000483</v>
      </c>
      <c r="AL35" s="11">
        <v>28967040000</v>
      </c>
      <c r="AM35" s="11"/>
      <c r="AN35" s="11"/>
      <c r="AO35" s="11"/>
      <c r="AP35" s="11"/>
      <c r="AQ35" s="16">
        <v>5639632</v>
      </c>
      <c r="AR35" s="16">
        <v>498118</v>
      </c>
      <c r="AS35" s="11"/>
      <c r="AT35" s="11"/>
      <c r="AU35" s="11"/>
      <c r="AV35" s="11"/>
      <c r="AW35" s="11"/>
    </row>
    <row r="36" spans="1:49" ht="12.75" x14ac:dyDescent="0.2">
      <c r="A36" s="64" t="s">
        <v>24</v>
      </c>
      <c r="B36" s="12">
        <v>128.94864200000001</v>
      </c>
      <c r="C36" s="12">
        <f t="shared" si="2"/>
        <v>128.94544500000001</v>
      </c>
      <c r="D36" s="12">
        <f t="shared" si="7"/>
        <v>68.345213999999999</v>
      </c>
      <c r="E36" s="12">
        <v>60.600231000000001</v>
      </c>
      <c r="F36" s="12">
        <f t="shared" si="8"/>
        <v>0</v>
      </c>
      <c r="G36" s="12">
        <v>60.211098999999997</v>
      </c>
      <c r="H36" s="13">
        <v>0.4669501819160809</v>
      </c>
      <c r="I36" s="12">
        <v>68.333714000000001</v>
      </c>
      <c r="J36" s="13">
        <v>0.52994282969824957</v>
      </c>
      <c r="K36" s="26">
        <f t="shared" si="3"/>
        <v>0.40063199999999999</v>
      </c>
      <c r="L36" s="60">
        <f t="shared" si="3"/>
        <v>4.0178033818875887E-3</v>
      </c>
      <c r="M36" s="19">
        <v>0.12907979869265362</v>
      </c>
      <c r="N36" s="26">
        <v>555.74663178491699</v>
      </c>
      <c r="O36" s="85">
        <v>833100</v>
      </c>
      <c r="P36" s="86">
        <f>AL36/1000000</f>
        <v>29158.5</v>
      </c>
      <c r="Q36" s="86">
        <v>35000</v>
      </c>
      <c r="R36" s="19">
        <v>0.113</v>
      </c>
      <c r="S36" s="19">
        <v>9.6000000000000002E-2</v>
      </c>
      <c r="T36" s="102">
        <v>1536.1407437567862</v>
      </c>
      <c r="U36" s="82"/>
      <c r="V36" s="12">
        <v>67.909710000000004</v>
      </c>
      <c r="W36" s="12">
        <v>0.435504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1.15E-2</v>
      </c>
      <c r="AE36" s="13">
        <v>1E-3</v>
      </c>
      <c r="AF36" s="12">
        <v>0.38913199999999998</v>
      </c>
      <c r="AG36" s="13">
        <v>3.0178033818875887E-3</v>
      </c>
      <c r="AH36" s="12">
        <v>0</v>
      </c>
      <c r="AI36" s="13">
        <v>0</v>
      </c>
      <c r="AJ36" s="12">
        <v>128.94544499999998</v>
      </c>
      <c r="AK36" s="12">
        <f>('3-Fiscal Support for HE'!C36/1000000)-AJ36</f>
        <v>3.1970000000285381E-3</v>
      </c>
      <c r="AL36" s="11">
        <v>29158500000</v>
      </c>
      <c r="AM36" s="11"/>
      <c r="AN36" s="11"/>
      <c r="AO36" s="11"/>
      <c r="AP36" s="11"/>
      <c r="AQ36" s="16">
        <v>6137428</v>
      </c>
      <c r="AR36" s="16">
        <v>561504</v>
      </c>
      <c r="AS36" s="11"/>
      <c r="AT36" s="11"/>
      <c r="AU36" s="11"/>
      <c r="AV36" s="11"/>
      <c r="AW36" s="11"/>
    </row>
    <row r="37" spans="1:49" ht="12.75" x14ac:dyDescent="0.2">
      <c r="A37" s="64" t="s">
        <v>25</v>
      </c>
      <c r="B37" s="12">
        <v>1.273692</v>
      </c>
      <c r="C37" s="12">
        <f t="shared" si="2"/>
        <v>0.45816000000000001</v>
      </c>
      <c r="D37" s="12">
        <f t="shared" si="7"/>
        <v>0.45816000000000001</v>
      </c>
      <c r="E37" s="12">
        <v>0</v>
      </c>
      <c r="F37" s="12">
        <f t="shared" si="8"/>
        <v>0.81553200000000003</v>
      </c>
      <c r="G37" s="12">
        <v>0</v>
      </c>
      <c r="H37" s="13">
        <v>0</v>
      </c>
      <c r="I37" s="12">
        <v>1.273692</v>
      </c>
      <c r="J37" s="13">
        <v>1</v>
      </c>
      <c r="K37" s="26">
        <f t="shared" si="3"/>
        <v>0</v>
      </c>
      <c r="L37" s="60">
        <f t="shared" si="3"/>
        <v>0</v>
      </c>
      <c r="M37" s="19">
        <v>5.2076741671301758E-3</v>
      </c>
      <c r="N37" s="26">
        <v>12.464903689193601</v>
      </c>
      <c r="O37" s="85">
        <v>132000</v>
      </c>
      <c r="P37" s="86">
        <f>AL37/1000000</f>
        <v>4184.3999999999996</v>
      </c>
      <c r="Q37" s="86">
        <v>31700</v>
      </c>
      <c r="R37" s="19">
        <v>0.09</v>
      </c>
      <c r="S37" s="19">
        <v>7.4999999999999997E-2</v>
      </c>
      <c r="T37" s="102">
        <v>0</v>
      </c>
      <c r="U37" s="82"/>
      <c r="V37" s="12">
        <v>0.45816000000000001</v>
      </c>
      <c r="W37" s="12">
        <v>0</v>
      </c>
      <c r="X37" s="12">
        <v>0</v>
      </c>
      <c r="Y37" s="12">
        <v>0</v>
      </c>
      <c r="Z37" s="12">
        <v>0</v>
      </c>
      <c r="AA37" s="12">
        <v>0.81553200000000003</v>
      </c>
      <c r="AB37" s="12">
        <v>0</v>
      </c>
      <c r="AC37" s="12">
        <v>0</v>
      </c>
      <c r="AD37" s="12">
        <v>0</v>
      </c>
      <c r="AE37" s="13">
        <v>0</v>
      </c>
      <c r="AF37" s="12">
        <v>0</v>
      </c>
      <c r="AG37" s="13">
        <v>0</v>
      </c>
      <c r="AH37" s="12">
        <v>0</v>
      </c>
      <c r="AI37" s="13">
        <v>0</v>
      </c>
      <c r="AJ37" s="12">
        <v>1.273692</v>
      </c>
      <c r="AK37" s="12">
        <f>('3-Fiscal Support for HE'!C37/1000000)-AJ37</f>
        <v>0</v>
      </c>
      <c r="AL37" s="11">
        <v>4184400000</v>
      </c>
      <c r="AM37" s="11"/>
      <c r="AN37" s="11"/>
      <c r="AO37" s="11"/>
      <c r="AP37" s="11"/>
      <c r="AQ37" s="16">
        <v>1068778</v>
      </c>
      <c r="AR37" s="16">
        <v>97764</v>
      </c>
      <c r="AS37" s="11"/>
      <c r="AT37" s="11"/>
      <c r="AU37" s="11"/>
      <c r="AV37" s="11"/>
      <c r="AW37" s="11"/>
    </row>
    <row r="38" spans="1:49" ht="12.75" x14ac:dyDescent="0.2">
      <c r="A38" s="64" t="s">
        <v>26</v>
      </c>
      <c r="B38" s="12">
        <v>21.149693999999997</v>
      </c>
      <c r="C38" s="12">
        <f t="shared" si="2"/>
        <v>19.029965999999998</v>
      </c>
      <c r="D38" s="12">
        <f t="shared" si="7"/>
        <v>18.973680999999999</v>
      </c>
      <c r="E38" s="12">
        <v>5.6285000000000002E-2</v>
      </c>
      <c r="F38" s="12">
        <f t="shared" si="8"/>
        <v>2.1197279999999998</v>
      </c>
      <c r="G38" s="12">
        <v>0</v>
      </c>
      <c r="H38" s="13">
        <v>0</v>
      </c>
      <c r="I38" s="12">
        <v>17.978263999999999</v>
      </c>
      <c r="J38" s="13">
        <v>0.86996540561601898</v>
      </c>
      <c r="K38" s="26">
        <f t="shared" si="3"/>
        <v>2.6872289999999999</v>
      </c>
      <c r="L38" s="60">
        <f t="shared" si="3"/>
        <v>0.13003459438398107</v>
      </c>
      <c r="M38" s="19">
        <v>2.7736102715154042E-2</v>
      </c>
      <c r="N38" s="26">
        <v>222.62217334846341</v>
      </c>
      <c r="O38" s="85">
        <v>264400</v>
      </c>
      <c r="P38" s="86">
        <f>AL38/1000000</f>
        <v>8302.16</v>
      </c>
      <c r="Q38" s="86">
        <v>31400</v>
      </c>
      <c r="R38" s="19">
        <v>7.4999999999999997E-2</v>
      </c>
      <c r="S38" s="19">
        <v>6.3E-2</v>
      </c>
      <c r="T38" s="102">
        <v>1409.7282208107897</v>
      </c>
      <c r="U38" s="82"/>
      <c r="V38" s="12">
        <v>17.978263999999999</v>
      </c>
      <c r="W38" s="12">
        <v>0.995417</v>
      </c>
      <c r="X38" s="12">
        <v>0</v>
      </c>
      <c r="Y38" s="12">
        <v>0</v>
      </c>
      <c r="Z38" s="12">
        <v>0</v>
      </c>
      <c r="AA38" s="12">
        <v>0</v>
      </c>
      <c r="AB38" s="12">
        <v>2.1197279999999998</v>
      </c>
      <c r="AC38" s="12">
        <v>0</v>
      </c>
      <c r="AD38" s="12">
        <v>0</v>
      </c>
      <c r="AE38" s="13">
        <v>0</v>
      </c>
      <c r="AF38" s="12">
        <v>2.6872289999999999</v>
      </c>
      <c r="AG38" s="13">
        <v>0.13003459438398107</v>
      </c>
      <c r="AH38" s="12">
        <v>0</v>
      </c>
      <c r="AI38" s="13">
        <v>0</v>
      </c>
      <c r="AJ38" s="12">
        <v>20.665492999999998</v>
      </c>
      <c r="AK38" s="12">
        <f>('3-Fiscal Support for HE'!C38/1000000)-AJ38</f>
        <v>0.48420099999999877</v>
      </c>
      <c r="AL38" s="11">
        <v>8302160000</v>
      </c>
      <c r="AM38" s="11"/>
      <c r="AN38" s="11"/>
      <c r="AO38" s="11"/>
      <c r="AP38" s="11"/>
      <c r="AQ38" s="16">
        <v>1934408</v>
      </c>
      <c r="AR38" s="16">
        <v>189298</v>
      </c>
      <c r="AS38" s="11"/>
      <c r="AT38" s="11"/>
      <c r="AU38" s="11"/>
      <c r="AV38" s="11"/>
      <c r="AW38" s="11"/>
    </row>
    <row r="39" spans="1:49" ht="12.75" x14ac:dyDescent="0.2">
      <c r="A39" s="64" t="s">
        <v>27</v>
      </c>
      <c r="B39" s="12">
        <v>72.395205000000004</v>
      </c>
      <c r="C39" s="12">
        <f t="shared" si="2"/>
        <v>51.448375999999996</v>
      </c>
      <c r="D39" s="12">
        <f t="shared" si="7"/>
        <v>12.713906999999999</v>
      </c>
      <c r="E39" s="12">
        <v>38.734468999999997</v>
      </c>
      <c r="F39" s="12">
        <f t="shared" si="8"/>
        <v>20.304206999999998</v>
      </c>
      <c r="G39" s="12">
        <v>36.977859000000002</v>
      </c>
      <c r="H39" s="13">
        <v>0.58079764279885215</v>
      </c>
      <c r="I39" s="12">
        <v>24.321072000000001</v>
      </c>
      <c r="J39" s="13">
        <v>0.38200214046846698</v>
      </c>
      <c r="K39" s="26">
        <f t="shared" si="3"/>
        <v>2.3684400000000001</v>
      </c>
      <c r="L39" s="60">
        <f t="shared" si="3"/>
        <v>3.7200216732680855E-2</v>
      </c>
      <c r="M39" s="19">
        <v>0.11047082584534278</v>
      </c>
      <c r="N39" s="26">
        <v>657.89920845001973</v>
      </c>
      <c r="O39" s="85">
        <v>333100</v>
      </c>
      <c r="P39" s="86">
        <f>AL39/1000000</f>
        <v>11558.57</v>
      </c>
      <c r="Q39" s="86">
        <v>34700</v>
      </c>
      <c r="R39" s="19">
        <v>0.13400000000000001</v>
      </c>
      <c r="S39" s="19">
        <v>0.10100000000000001</v>
      </c>
      <c r="T39" s="102">
        <v>2677.8177920685957</v>
      </c>
      <c r="U39" s="82"/>
      <c r="V39" s="12">
        <v>4.9968079999999997</v>
      </c>
      <c r="W39" s="12">
        <v>7.7170990000000002</v>
      </c>
      <c r="X39" s="12">
        <v>0</v>
      </c>
      <c r="Y39" s="12">
        <v>0</v>
      </c>
      <c r="Z39" s="12">
        <v>0</v>
      </c>
      <c r="AA39" s="12">
        <v>0.168374</v>
      </c>
      <c r="AB39" s="12">
        <v>19.285917999999999</v>
      </c>
      <c r="AC39" s="12">
        <v>0.84991499999999998</v>
      </c>
      <c r="AD39" s="12">
        <v>0</v>
      </c>
      <c r="AE39" s="13">
        <v>0</v>
      </c>
      <c r="AF39" s="12">
        <v>0.61182999999999998</v>
      </c>
      <c r="AG39" s="13">
        <v>9.6097889765229972E-3</v>
      </c>
      <c r="AH39" s="12">
        <v>1.75661</v>
      </c>
      <c r="AI39" s="13">
        <v>2.7590427756157859E-2</v>
      </c>
      <c r="AJ39" s="12">
        <v>63.667371000000003</v>
      </c>
      <c r="AK39" s="12">
        <f>('3-Fiscal Support for HE'!C39/1000000)-AJ39</f>
        <v>8.7278340000000014</v>
      </c>
      <c r="AL39" s="11">
        <v>11558570000</v>
      </c>
      <c r="AM39" s="11"/>
      <c r="AN39" s="11"/>
      <c r="AO39" s="11"/>
      <c r="AP39" s="11"/>
      <c r="AQ39" s="16">
        <v>3080156</v>
      </c>
      <c r="AR39" s="16">
        <v>250220</v>
      </c>
      <c r="AS39" s="11"/>
      <c r="AT39" s="11"/>
      <c r="AU39" s="11"/>
      <c r="AV39" s="11"/>
      <c r="AW39" s="11"/>
    </row>
    <row r="40" spans="1:49" ht="12.75" x14ac:dyDescent="0.2">
      <c r="A40" s="64" t="s">
        <v>28</v>
      </c>
      <c r="B40" s="12">
        <v>4.9101999999999997</v>
      </c>
      <c r="C40" s="12">
        <f t="shared" si="2"/>
        <v>4.9101999999999997</v>
      </c>
      <c r="D40" s="12">
        <f t="shared" si="7"/>
        <v>3</v>
      </c>
      <c r="E40" s="12">
        <v>1.9101999999999999</v>
      </c>
      <c r="F40" s="12">
        <f t="shared" si="8"/>
        <v>0</v>
      </c>
      <c r="G40" s="12">
        <v>0</v>
      </c>
      <c r="H40" s="13">
        <v>0</v>
      </c>
      <c r="I40" s="12">
        <v>3</v>
      </c>
      <c r="J40" s="13">
        <v>0.61097307645309762</v>
      </c>
      <c r="K40" s="26">
        <f t="shared" si="3"/>
        <v>1.9101999999999999</v>
      </c>
      <c r="L40" s="60">
        <f t="shared" si="3"/>
        <v>0</v>
      </c>
      <c r="M40" s="19">
        <v>3.8198831804386879E-2</v>
      </c>
      <c r="N40" s="26">
        <v>55.34677682969442</v>
      </c>
      <c r="O40" s="85">
        <v>225300</v>
      </c>
      <c r="P40" s="86">
        <f>AL40/1000000</f>
        <v>7525.02</v>
      </c>
      <c r="Q40" s="86">
        <v>33400</v>
      </c>
      <c r="R40" s="19">
        <v>7.5999999999999998E-2</v>
      </c>
      <c r="S40" s="19">
        <v>7.3999999999999996E-2</v>
      </c>
      <c r="T40" s="102">
        <v>0</v>
      </c>
      <c r="U40" s="82"/>
      <c r="V40" s="12">
        <v>3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3">
        <v>0</v>
      </c>
      <c r="AF40" s="12">
        <v>1.9101999999999999</v>
      </c>
      <c r="AG40" s="13">
        <v>0</v>
      </c>
      <c r="AH40" s="12">
        <v>0</v>
      </c>
      <c r="AI40" s="13">
        <v>0</v>
      </c>
      <c r="AJ40" s="12">
        <v>4.9101999999999997</v>
      </c>
      <c r="AK40" s="12">
        <f>('3-Fiscal Support for HE'!C40/1000000)-AJ40</f>
        <v>0</v>
      </c>
      <c r="AL40" s="11">
        <v>7525020000</v>
      </c>
      <c r="AM40" s="11"/>
      <c r="AN40" s="11"/>
      <c r="AO40" s="11"/>
      <c r="AP40" s="11"/>
      <c r="AQ40" s="16">
        <v>1359711</v>
      </c>
      <c r="AR40" s="16">
        <v>123691</v>
      </c>
      <c r="AS40" s="11"/>
      <c r="AT40" s="11"/>
      <c r="AU40" s="11"/>
      <c r="AV40" s="11"/>
      <c r="AW40" s="11"/>
    </row>
    <row r="41" spans="1:49" ht="12.75" x14ac:dyDescent="0.2">
      <c r="A41" s="64" t="s">
        <v>29</v>
      </c>
      <c r="B41" s="12">
        <v>637.00315799999998</v>
      </c>
      <c r="C41" s="12">
        <f t="shared" si="2"/>
        <v>485.595686</v>
      </c>
      <c r="D41" s="12">
        <f t="shared" si="7"/>
        <v>478.49363799999998</v>
      </c>
      <c r="E41" s="12">
        <v>7.1020479999999999</v>
      </c>
      <c r="F41" s="12">
        <f t="shared" si="8"/>
        <v>150.67002200000002</v>
      </c>
      <c r="G41" s="12">
        <v>6.5068070000000002</v>
      </c>
      <c r="H41" s="13">
        <v>1.3399639221671341E-2</v>
      </c>
      <c r="I41" s="12">
        <v>477.99106499999999</v>
      </c>
      <c r="J41" s="13">
        <v>0.98433960346179861</v>
      </c>
      <c r="K41" s="26">
        <f t="shared" si="3"/>
        <v>1.0978140000000001</v>
      </c>
      <c r="L41" s="60">
        <f t="shared" si="3"/>
        <v>2.260757316530197E-3</v>
      </c>
      <c r="M41" s="19">
        <v>0.2955898208094202</v>
      </c>
      <c r="N41" s="26">
        <v>1656.6446711244541</v>
      </c>
      <c r="O41" s="85">
        <v>1337300</v>
      </c>
      <c r="P41" s="86">
        <f>AL41/1000000</f>
        <v>48811.45</v>
      </c>
      <c r="Q41" s="86">
        <v>36500</v>
      </c>
      <c r="R41" s="19">
        <v>8.4000000000000005E-2</v>
      </c>
      <c r="S41" s="19">
        <v>7.0999999999999994E-2</v>
      </c>
      <c r="T41" s="102">
        <v>6615.0494654012491</v>
      </c>
      <c r="U41" s="82"/>
      <c r="V41" s="12">
        <v>440.50937399999998</v>
      </c>
      <c r="W41" s="12">
        <v>37.984264000000003</v>
      </c>
      <c r="X41" s="12">
        <v>149.217173</v>
      </c>
      <c r="Y41" s="12">
        <v>1.4278489999999999</v>
      </c>
      <c r="Z41" s="12">
        <v>0</v>
      </c>
      <c r="AA41" s="12">
        <v>0</v>
      </c>
      <c r="AB41" s="12">
        <v>0</v>
      </c>
      <c r="AC41" s="12">
        <v>2.5000000000000001E-2</v>
      </c>
      <c r="AD41" s="12">
        <v>0.50257300000000005</v>
      </c>
      <c r="AE41" s="13">
        <v>1.0349618303651901E-3</v>
      </c>
      <c r="AF41" s="12">
        <v>0.59524100000000002</v>
      </c>
      <c r="AG41" s="13">
        <v>1.2257954861650069E-3</v>
      </c>
      <c r="AH41" s="12">
        <v>0</v>
      </c>
      <c r="AI41" s="13">
        <v>0</v>
      </c>
      <c r="AJ41" s="12">
        <v>485.59568599999994</v>
      </c>
      <c r="AK41" s="12">
        <f>('3-Fiscal Support for HE'!C41/1000000)-AJ41</f>
        <v>151.40747200000004</v>
      </c>
      <c r="AL41" s="11">
        <v>48811450000</v>
      </c>
      <c r="AM41" s="11"/>
      <c r="AN41" s="11"/>
      <c r="AO41" s="11"/>
      <c r="AP41" s="11"/>
      <c r="AQ41" s="16">
        <v>8882190</v>
      </c>
      <c r="AR41" s="16">
        <v>753634</v>
      </c>
      <c r="AS41" s="11"/>
      <c r="AT41" s="11"/>
      <c r="AU41" s="11"/>
      <c r="AV41" s="11"/>
      <c r="AW41" s="11"/>
    </row>
    <row r="42" spans="1:49" ht="12.75" x14ac:dyDescent="0.2">
      <c r="A42" s="64" t="s">
        <v>30</v>
      </c>
      <c r="B42" s="12">
        <v>88.795739999999995</v>
      </c>
      <c r="C42" s="12">
        <f t="shared" si="2"/>
        <v>83.501935000000003</v>
      </c>
      <c r="D42" s="12">
        <f t="shared" si="7"/>
        <v>23.516318999999999</v>
      </c>
      <c r="E42" s="12">
        <v>59.985616</v>
      </c>
      <c r="F42" s="12">
        <f t="shared" si="8"/>
        <v>4.4493309999999999</v>
      </c>
      <c r="G42" s="12">
        <v>59.985616</v>
      </c>
      <c r="H42" s="13">
        <v>0.71359125239492549</v>
      </c>
      <c r="I42" s="12">
        <v>23.25976</v>
      </c>
      <c r="J42" s="13">
        <v>0.27669902179224753</v>
      </c>
      <c r="K42" s="26">
        <f t="shared" si="3"/>
        <v>0.81621500000000002</v>
      </c>
      <c r="L42" s="60">
        <f t="shared" si="3"/>
        <v>9.7097258128269297E-3</v>
      </c>
      <c r="M42" s="19">
        <v>0.10222730364393351</v>
      </c>
      <c r="N42" s="26">
        <v>1122.6245277691883</v>
      </c>
      <c r="O42" s="85">
        <v>220600</v>
      </c>
      <c r="P42" s="86">
        <f>AL42/1000000</f>
        <v>7412.16</v>
      </c>
      <c r="Q42" s="86">
        <v>33600</v>
      </c>
      <c r="R42" s="19">
        <v>0.13900000000000001</v>
      </c>
      <c r="S42" s="19">
        <v>0.108</v>
      </c>
      <c r="T42" s="102">
        <v>716.23001198965108</v>
      </c>
      <c r="U42" s="82"/>
      <c r="V42" s="12">
        <v>11.350097</v>
      </c>
      <c r="W42" s="12">
        <v>12.166221999999999</v>
      </c>
      <c r="X42" s="12">
        <v>0</v>
      </c>
      <c r="Y42" s="12">
        <v>4.4493309999999999</v>
      </c>
      <c r="Z42" s="12">
        <v>0</v>
      </c>
      <c r="AA42" s="12">
        <v>0</v>
      </c>
      <c r="AB42" s="12">
        <v>0</v>
      </c>
      <c r="AC42" s="12">
        <v>0</v>
      </c>
      <c r="AD42" s="12">
        <v>0.25655899999999998</v>
      </c>
      <c r="AE42" s="13">
        <v>3.0520359768113352E-3</v>
      </c>
      <c r="AF42" s="12">
        <v>0.55965600000000004</v>
      </c>
      <c r="AG42" s="13">
        <v>6.6576898360155949E-3</v>
      </c>
      <c r="AH42" s="12">
        <v>0</v>
      </c>
      <c r="AI42" s="13">
        <v>0</v>
      </c>
      <c r="AJ42" s="12">
        <v>84.061591000000007</v>
      </c>
      <c r="AK42" s="12">
        <f>('3-Fiscal Support for HE'!C42/1000000)-AJ42</f>
        <v>4.734148999999988</v>
      </c>
      <c r="AL42" s="11">
        <v>7412160000</v>
      </c>
      <c r="AM42" s="11"/>
      <c r="AN42" s="11"/>
      <c r="AO42" s="11"/>
      <c r="AP42" s="11"/>
      <c r="AQ42" s="16">
        <v>2096829</v>
      </c>
      <c r="AR42" s="16">
        <v>195875</v>
      </c>
      <c r="AS42" s="11"/>
      <c r="AT42" s="11"/>
      <c r="AU42" s="11"/>
      <c r="AV42" s="11"/>
      <c r="AW42" s="11"/>
    </row>
    <row r="43" spans="1:49" ht="12.75" x14ac:dyDescent="0.2">
      <c r="A43" s="64" t="s">
        <v>31</v>
      </c>
      <c r="B43" s="12">
        <v>1155.95352</v>
      </c>
      <c r="C43" s="12">
        <f t="shared" si="2"/>
        <v>941.9778</v>
      </c>
      <c r="D43" s="12">
        <f t="shared" si="7"/>
        <v>895.61879999999996</v>
      </c>
      <c r="E43" s="12">
        <v>46.359000000000002</v>
      </c>
      <c r="F43" s="12">
        <f t="shared" si="8"/>
        <v>213.97471999999999</v>
      </c>
      <c r="G43" s="12">
        <v>11.726000000000001</v>
      </c>
      <c r="H43" s="13">
        <v>1.1237012415145031E-2</v>
      </c>
      <c r="I43" s="12">
        <v>890.4058</v>
      </c>
      <c r="J43" s="13">
        <v>0.85327486177018108</v>
      </c>
      <c r="K43" s="26">
        <f t="shared" si="3"/>
        <v>141.38399999999999</v>
      </c>
      <c r="L43" s="60">
        <f t="shared" si="3"/>
        <v>0.13548812581467379</v>
      </c>
      <c r="M43" s="19">
        <v>0.1881469195225112</v>
      </c>
      <c r="N43" s="26">
        <v>1102.0571047505396</v>
      </c>
      <c r="O43" s="85">
        <v>2654100</v>
      </c>
      <c r="P43" s="86">
        <f>AL43/1000000</f>
        <v>99794.16</v>
      </c>
      <c r="Q43" s="86">
        <v>37600</v>
      </c>
      <c r="R43" s="19">
        <v>7.3999999999999996E-2</v>
      </c>
      <c r="S43" s="19">
        <v>6.6000000000000003E-2</v>
      </c>
      <c r="T43" s="102">
        <v>3311.6110806404354</v>
      </c>
      <c r="U43" s="82"/>
      <c r="V43" s="12">
        <v>881.53099999999995</v>
      </c>
      <c r="W43" s="12">
        <v>14.0878</v>
      </c>
      <c r="X43" s="12">
        <v>0</v>
      </c>
      <c r="Y43" s="12">
        <v>9.3490000000000002</v>
      </c>
      <c r="Z43" s="12">
        <v>101.517</v>
      </c>
      <c r="AA43" s="12">
        <v>0</v>
      </c>
      <c r="AB43" s="12">
        <v>0</v>
      </c>
      <c r="AC43" s="12">
        <v>103.10872000000001</v>
      </c>
      <c r="AD43" s="12">
        <v>0.81499999999999995</v>
      </c>
      <c r="AE43" s="13">
        <v>7.810135697034964E-4</v>
      </c>
      <c r="AF43" s="12">
        <v>140.56899999999999</v>
      </c>
      <c r="AG43" s="13">
        <v>0.13470711224497028</v>
      </c>
      <c r="AH43" s="12">
        <v>0</v>
      </c>
      <c r="AI43" s="13">
        <v>0</v>
      </c>
      <c r="AJ43" s="12">
        <v>1043.5158000000001</v>
      </c>
      <c r="AK43" s="12">
        <f>('3-Fiscal Support for HE'!C43/1000000)-AJ43</f>
        <v>112.4377199999999</v>
      </c>
      <c r="AL43" s="11">
        <v>99794160000</v>
      </c>
      <c r="AM43" s="11"/>
      <c r="AN43" s="11"/>
      <c r="AO43" s="11"/>
      <c r="AP43" s="11"/>
      <c r="AQ43" s="16">
        <v>19453561</v>
      </c>
      <c r="AR43" s="16">
        <v>1762544</v>
      </c>
      <c r="AS43" s="11"/>
      <c r="AT43" s="11"/>
      <c r="AU43" s="11"/>
      <c r="AV43" s="11"/>
      <c r="AW43" s="11"/>
    </row>
    <row r="44" spans="1:49" ht="12.75" x14ac:dyDescent="0.2">
      <c r="A44" s="64" t="s">
        <v>33</v>
      </c>
      <c r="B44" s="12">
        <v>21.170145999999999</v>
      </c>
      <c r="C44" s="12">
        <f t="shared" si="2"/>
        <v>17.953129000000001</v>
      </c>
      <c r="D44" s="12">
        <f t="shared" si="7"/>
        <v>9.7141510000000011</v>
      </c>
      <c r="E44" s="12">
        <v>8.2389779999999995</v>
      </c>
      <c r="F44" s="12">
        <f t="shared" si="8"/>
        <v>1.521506</v>
      </c>
      <c r="G44" s="12">
        <v>0</v>
      </c>
      <c r="H44" s="13">
        <v>0</v>
      </c>
      <c r="I44" s="12">
        <v>9.5798710000000007</v>
      </c>
      <c r="J44" s="13">
        <v>0.53360453211248027</v>
      </c>
      <c r="K44" s="26">
        <f t="shared" si="3"/>
        <v>8.3732579999999999</v>
      </c>
      <c r="L44" s="60">
        <f t="shared" si="3"/>
        <v>0.46639546788751973</v>
      </c>
      <c r="M44" s="19">
        <v>5.9053451501757129E-2</v>
      </c>
      <c r="N44" s="26">
        <v>475.34033201832193</v>
      </c>
      <c r="O44" s="85">
        <v>113800</v>
      </c>
      <c r="P44" s="86">
        <f>AL44/1000000</f>
        <v>3163.64</v>
      </c>
      <c r="Q44" s="86">
        <v>27800</v>
      </c>
      <c r="R44" s="19">
        <v>6.9000000000000006E-2</v>
      </c>
      <c r="S44" s="19">
        <v>6.8000000000000005E-2</v>
      </c>
      <c r="T44" s="102">
        <v>1718.6707929673485</v>
      </c>
      <c r="U44" s="82"/>
      <c r="V44" s="12">
        <v>9.5798710000000007</v>
      </c>
      <c r="W44" s="12">
        <v>0.13428000000000001</v>
      </c>
      <c r="X44" s="12">
        <v>0</v>
      </c>
      <c r="Y44" s="12">
        <v>1.521506</v>
      </c>
      <c r="Z44" s="12">
        <v>0</v>
      </c>
      <c r="AA44" s="12">
        <v>0</v>
      </c>
      <c r="AB44" s="12">
        <v>0</v>
      </c>
      <c r="AC44" s="12">
        <v>0</v>
      </c>
      <c r="AD44" s="12">
        <v>0</v>
      </c>
      <c r="AE44" s="13">
        <v>0</v>
      </c>
      <c r="AF44" s="12">
        <v>8.3732579999999999</v>
      </c>
      <c r="AG44" s="13">
        <v>0.46639546788751973</v>
      </c>
      <c r="AH44" s="12">
        <v>0</v>
      </c>
      <c r="AI44" s="13">
        <v>0</v>
      </c>
      <c r="AJ44" s="12">
        <v>17.953129000000001</v>
      </c>
      <c r="AK44" s="12">
        <f>('3-Fiscal Support for HE'!C44/1000000)-AJ44</f>
        <v>3.2170169999999985</v>
      </c>
      <c r="AL44" s="11">
        <v>3163640000</v>
      </c>
      <c r="AM44" s="11"/>
      <c r="AN44" s="11"/>
      <c r="AO44" s="11"/>
      <c r="AP44" s="11"/>
      <c r="AQ44" s="16">
        <v>762062</v>
      </c>
      <c r="AR44" s="16">
        <v>82822</v>
      </c>
      <c r="AS44" s="11"/>
      <c r="AT44" s="11"/>
      <c r="AU44" s="11"/>
      <c r="AV44" s="11"/>
      <c r="AW44" s="11"/>
    </row>
    <row r="45" spans="1:49" ht="12.75" x14ac:dyDescent="0.2">
      <c r="A45" s="64" t="s">
        <v>34</v>
      </c>
      <c r="B45" s="12">
        <v>136.39412399999998</v>
      </c>
      <c r="C45" s="12">
        <f t="shared" si="2"/>
        <v>122.204099</v>
      </c>
      <c r="D45" s="12">
        <f t="shared" si="7"/>
        <v>94.341560999999999</v>
      </c>
      <c r="E45" s="12">
        <v>27.862538000000001</v>
      </c>
      <c r="F45" s="12">
        <f t="shared" si="8"/>
        <v>0.88766999999999996</v>
      </c>
      <c r="G45" s="12">
        <v>0</v>
      </c>
      <c r="H45" s="13">
        <v>0</v>
      </c>
      <c r="I45" s="12">
        <v>94.341560999999999</v>
      </c>
      <c r="J45" s="13">
        <v>0.77012276928496237</v>
      </c>
      <c r="K45" s="26">
        <f t="shared" si="3"/>
        <v>28.160415</v>
      </c>
      <c r="L45" s="60">
        <f t="shared" si="3"/>
        <v>0.2298772307150376</v>
      </c>
      <c r="M45" s="19">
        <v>5.9314536307403173E-2</v>
      </c>
      <c r="N45" s="26">
        <v>277.83951554780521</v>
      </c>
      <c r="O45" s="85">
        <v>1832000</v>
      </c>
      <c r="P45" s="86">
        <f>AL45/1000000</f>
        <v>62837.599999999999</v>
      </c>
      <c r="Q45" s="86">
        <v>34300</v>
      </c>
      <c r="R45" s="19">
        <v>0.11600000000000001</v>
      </c>
      <c r="S45" s="19">
        <v>9.6000000000000002E-2</v>
      </c>
      <c r="T45" s="102">
        <v>1552.7941437882678</v>
      </c>
      <c r="U45" s="82"/>
      <c r="V45" s="12">
        <v>94.341560999999999</v>
      </c>
      <c r="W45" s="12">
        <v>0</v>
      </c>
      <c r="X45" s="12">
        <v>0</v>
      </c>
      <c r="Y45" s="12">
        <v>0.58979300000000001</v>
      </c>
      <c r="Z45" s="12">
        <v>0</v>
      </c>
      <c r="AA45" s="12">
        <v>0</v>
      </c>
      <c r="AB45" s="12">
        <v>0.297877</v>
      </c>
      <c r="AC45" s="12">
        <v>0</v>
      </c>
      <c r="AD45" s="12">
        <v>0</v>
      </c>
      <c r="AE45" s="13">
        <v>0</v>
      </c>
      <c r="AF45" s="12">
        <v>19.479808999999999</v>
      </c>
      <c r="AG45" s="13">
        <v>0.15901628394957482</v>
      </c>
      <c r="AH45" s="12">
        <v>8.6806059999999992</v>
      </c>
      <c r="AI45" s="13">
        <v>7.0860946765462784E-2</v>
      </c>
      <c r="AJ45" s="12">
        <v>122.501976</v>
      </c>
      <c r="AK45" s="12">
        <f>('3-Fiscal Support for HE'!C45/1000000)-AJ45</f>
        <v>13.892147999999978</v>
      </c>
      <c r="AL45" s="11">
        <v>62837600000</v>
      </c>
      <c r="AM45" s="11"/>
      <c r="AN45" s="11"/>
      <c r="AO45" s="11"/>
      <c r="AP45" s="11"/>
      <c r="AQ45" s="16">
        <v>11689100</v>
      </c>
      <c r="AR45" s="16">
        <v>1060311</v>
      </c>
      <c r="AS45" s="11"/>
      <c r="AT45" s="11"/>
      <c r="AU45" s="11"/>
      <c r="AV45" s="11"/>
      <c r="AW45" s="11"/>
    </row>
    <row r="46" spans="1:49" ht="12.75" x14ac:dyDescent="0.2">
      <c r="A46" s="64" t="s">
        <v>36</v>
      </c>
      <c r="B46" s="12">
        <v>175.521514</v>
      </c>
      <c r="C46" s="12">
        <f t="shared" si="2"/>
        <v>93.085949999999997</v>
      </c>
      <c r="D46" s="12">
        <f t="shared" si="7"/>
        <v>92.769768999999997</v>
      </c>
      <c r="E46" s="12">
        <v>0.31618099999999999</v>
      </c>
      <c r="F46" s="12">
        <f t="shared" si="8"/>
        <v>82.426939000000004</v>
      </c>
      <c r="G46" s="12">
        <v>0</v>
      </c>
      <c r="H46" s="13">
        <v>0</v>
      </c>
      <c r="I46" s="12">
        <v>74.656560999999996</v>
      </c>
      <c r="J46" s="13">
        <v>0.42538866950898568</v>
      </c>
      <c r="K46" s="26">
        <f t="shared" si="3"/>
        <v>100.84543599999999</v>
      </c>
      <c r="L46" s="60">
        <f t="shared" si="3"/>
        <v>0.57461133049101432</v>
      </c>
      <c r="M46" s="19">
        <v>0.19854174764899815</v>
      </c>
      <c r="N46" s="26">
        <v>625.52717522780426</v>
      </c>
      <c r="O46" s="85">
        <v>561200</v>
      </c>
      <c r="P46" s="86">
        <f>AL46/1000000</f>
        <v>20708.28</v>
      </c>
      <c r="Q46" s="86">
        <v>36900</v>
      </c>
      <c r="R46" s="19">
        <v>0.115</v>
      </c>
      <c r="S46" s="19">
        <v>0.09</v>
      </c>
      <c r="T46" s="102">
        <v>2276.5311032505947</v>
      </c>
      <c r="U46" s="82"/>
      <c r="V46" s="12">
        <v>74.656560999999996</v>
      </c>
      <c r="W46" s="12">
        <v>18.113208</v>
      </c>
      <c r="X46" s="12">
        <v>0</v>
      </c>
      <c r="Y46" s="12">
        <v>0</v>
      </c>
      <c r="Z46" s="12">
        <v>0</v>
      </c>
      <c r="AA46" s="12">
        <v>0</v>
      </c>
      <c r="AB46" s="12">
        <v>82.416047000000006</v>
      </c>
      <c r="AC46" s="12">
        <v>1.0892000000000001E-2</v>
      </c>
      <c r="AD46" s="12">
        <v>100.01067999999999</v>
      </c>
      <c r="AE46" s="13">
        <v>0.5698549401691424</v>
      </c>
      <c r="AF46" s="12">
        <v>0.83475600000000005</v>
      </c>
      <c r="AG46" s="13">
        <v>4.7563903218719502E-3</v>
      </c>
      <c r="AH46" s="12">
        <v>0</v>
      </c>
      <c r="AI46" s="13">
        <v>0</v>
      </c>
      <c r="AJ46" s="12">
        <v>175.50199699999999</v>
      </c>
      <c r="AK46" s="12">
        <f>('3-Fiscal Support for HE'!C46/1000000)-AJ46</f>
        <v>1.9517000000007556E-2</v>
      </c>
      <c r="AL46" s="11">
        <v>20708280000</v>
      </c>
      <c r="AM46" s="11"/>
      <c r="AN46" s="11"/>
      <c r="AO46" s="11"/>
      <c r="AP46" s="11"/>
      <c r="AQ46" s="16">
        <v>4217737</v>
      </c>
      <c r="AR46" s="16">
        <v>363022</v>
      </c>
      <c r="AS46" s="11"/>
      <c r="AT46" s="11"/>
      <c r="AU46" s="11"/>
      <c r="AV46" s="11"/>
      <c r="AW46" s="11"/>
    </row>
    <row r="47" spans="1:49" ht="12.75" x14ac:dyDescent="0.2">
      <c r="A47" s="64" t="s">
        <v>37</v>
      </c>
      <c r="B47" s="12">
        <v>416.21555600000005</v>
      </c>
      <c r="C47" s="12">
        <f t="shared" si="2"/>
        <v>391.83111200000002</v>
      </c>
      <c r="D47" s="12">
        <f t="shared" si="7"/>
        <v>389.51811200000003</v>
      </c>
      <c r="E47" s="12">
        <v>2.3130000000000002</v>
      </c>
      <c r="F47" s="12">
        <f t="shared" si="8"/>
        <v>23.465389999999999</v>
      </c>
      <c r="G47" s="12">
        <v>2.3130000000000002</v>
      </c>
      <c r="H47" s="13">
        <v>5.6915268342842404E-3</v>
      </c>
      <c r="I47" s="12">
        <v>352.77262899999999</v>
      </c>
      <c r="J47" s="13">
        <v>0.86805658640488492</v>
      </c>
      <c r="K47" s="26">
        <f t="shared" si="3"/>
        <v>51.307957000000002</v>
      </c>
      <c r="L47" s="60">
        <f t="shared" si="3"/>
        <v>0.12625188676083093</v>
      </c>
      <c r="M47" s="19">
        <v>0.23698499170128029</v>
      </c>
      <c r="N47" s="26">
        <v>813.35454502051903</v>
      </c>
      <c r="O47" s="85">
        <v>2061400</v>
      </c>
      <c r="P47" s="86">
        <f>AL47/1000000</f>
        <v>71530.58</v>
      </c>
      <c r="Q47" s="86">
        <v>34700</v>
      </c>
      <c r="R47" s="19">
        <v>9.1999999999999998E-2</v>
      </c>
      <c r="S47" s="19">
        <v>7.8E-2</v>
      </c>
      <c r="T47" s="102">
        <v>2438.9375482954742</v>
      </c>
      <c r="U47" s="82"/>
      <c r="V47" s="12">
        <v>350.34606200000002</v>
      </c>
      <c r="W47" s="12">
        <v>39.172049999999999</v>
      </c>
      <c r="X47" s="12">
        <v>0</v>
      </c>
      <c r="Y47" s="12">
        <v>0</v>
      </c>
      <c r="Z47" s="12">
        <v>10.420769999999999</v>
      </c>
      <c r="AA47" s="12">
        <v>10.579409</v>
      </c>
      <c r="AB47" s="12">
        <v>0.218862</v>
      </c>
      <c r="AC47" s="12">
        <v>2.2463489999999999</v>
      </c>
      <c r="AD47" s="12">
        <v>5.1315989999999996</v>
      </c>
      <c r="AE47" s="13">
        <v>1.2627165331295362E-2</v>
      </c>
      <c r="AF47" s="12">
        <v>46.176358</v>
      </c>
      <c r="AG47" s="13">
        <v>0.11362472142953556</v>
      </c>
      <c r="AH47" s="12">
        <v>0</v>
      </c>
      <c r="AI47" s="13">
        <v>0</v>
      </c>
      <c r="AJ47" s="12">
        <v>406.39358599999997</v>
      </c>
      <c r="AK47" s="12">
        <f>('3-Fiscal Support for HE'!C47/1000000)-AJ47</f>
        <v>9.8219700000000785</v>
      </c>
      <c r="AL47" s="11">
        <v>71530580000</v>
      </c>
      <c r="AM47" s="11"/>
      <c r="AN47" s="11"/>
      <c r="AO47" s="11"/>
      <c r="AP47" s="11"/>
      <c r="AQ47" s="16">
        <v>12801989</v>
      </c>
      <c r="AR47" s="16">
        <v>1142159</v>
      </c>
      <c r="AS47" s="11"/>
      <c r="AT47" s="11"/>
      <c r="AU47" s="11"/>
      <c r="AV47" s="11"/>
      <c r="AW47" s="11"/>
    </row>
    <row r="48" spans="1:49" ht="12.75" x14ac:dyDescent="0.2">
      <c r="A48" s="64" t="s">
        <v>38</v>
      </c>
      <c r="B48" s="12">
        <v>6.7244589999999995</v>
      </c>
      <c r="C48" s="12">
        <f t="shared" si="2"/>
        <v>6.4709539999999999</v>
      </c>
      <c r="D48" s="12">
        <f t="shared" si="7"/>
        <v>6.3336119999999996</v>
      </c>
      <c r="E48" s="12">
        <v>0.13734199999999999</v>
      </c>
      <c r="F48" s="12">
        <f t="shared" si="8"/>
        <v>0</v>
      </c>
      <c r="G48" s="12">
        <v>0</v>
      </c>
      <c r="H48" s="13">
        <v>0</v>
      </c>
      <c r="I48" s="12">
        <v>6.3336119999999996</v>
      </c>
      <c r="J48" s="13">
        <v>0.97877561793825141</v>
      </c>
      <c r="K48" s="26">
        <f t="shared" si="3"/>
        <v>0.13734199999999999</v>
      </c>
      <c r="L48" s="60">
        <f t="shared" si="3"/>
        <v>2.1224382061748544E-2</v>
      </c>
      <c r="M48" s="19"/>
      <c r="N48" s="26">
        <v>42.452249899953422</v>
      </c>
      <c r="O48" s="85">
        <v>295700</v>
      </c>
      <c r="P48" s="86">
        <f>AL48/1000000</f>
        <v>8309.17</v>
      </c>
      <c r="Q48" s="86">
        <v>28100</v>
      </c>
      <c r="R48" s="19">
        <v>0.14000000000000001</v>
      </c>
      <c r="S48" s="19">
        <v>0.107</v>
      </c>
      <c r="T48" s="102">
        <v>494.85209782014221</v>
      </c>
      <c r="U48" s="82"/>
      <c r="V48" s="12">
        <v>6.3336119999999996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12">
        <v>0</v>
      </c>
      <c r="AE48" s="13">
        <v>0</v>
      </c>
      <c r="AF48" s="12">
        <v>0</v>
      </c>
      <c r="AG48" s="13">
        <v>0</v>
      </c>
      <c r="AH48" s="12">
        <v>0.13734199999999999</v>
      </c>
      <c r="AI48" s="13">
        <v>2.1224382061748544E-2</v>
      </c>
      <c r="AJ48" s="12">
        <v>6.4709539999999999</v>
      </c>
      <c r="AK48" s="12">
        <f>('3-Fiscal Support for HE'!C48/1000000)-AJ48</f>
        <v>0.25350499999999876</v>
      </c>
      <c r="AL48" s="11">
        <v>8309170000</v>
      </c>
      <c r="AM48" s="11"/>
      <c r="AN48" s="11"/>
      <c r="AO48" s="11"/>
      <c r="AP48" s="11"/>
      <c r="AQ48" s="16">
        <v>3193694</v>
      </c>
      <c r="AS48" s="11"/>
      <c r="AT48" s="11"/>
      <c r="AU48" s="11"/>
      <c r="AV48" s="11"/>
      <c r="AW48" s="11"/>
    </row>
    <row r="49" spans="1:49" ht="12.75" x14ac:dyDescent="0.2">
      <c r="A49" s="64" t="s">
        <v>39</v>
      </c>
      <c r="B49" s="12">
        <v>10.53</v>
      </c>
      <c r="C49" s="12">
        <f t="shared" si="2"/>
        <v>10.53</v>
      </c>
      <c r="D49" s="12">
        <f t="shared" si="7"/>
        <v>10.53</v>
      </c>
      <c r="E49" s="12">
        <v>0</v>
      </c>
      <c r="F49" s="12">
        <f t="shared" si="8"/>
        <v>0</v>
      </c>
      <c r="G49" s="12">
        <v>0</v>
      </c>
      <c r="H49" s="13">
        <v>0</v>
      </c>
      <c r="I49" s="12">
        <v>10.53</v>
      </c>
      <c r="J49" s="13">
        <v>1</v>
      </c>
      <c r="K49" s="26">
        <f t="shared" si="3"/>
        <v>0</v>
      </c>
      <c r="L49" s="60">
        <f t="shared" si="3"/>
        <v>0</v>
      </c>
      <c r="M49" s="19">
        <v>5.0519269483878929E-2</v>
      </c>
      <c r="N49" s="26">
        <v>172.10663092689146</v>
      </c>
      <c r="O49" s="85">
        <v>155900</v>
      </c>
      <c r="P49" s="86">
        <f>AL49/1000000</f>
        <v>5051.16</v>
      </c>
      <c r="Q49" s="86">
        <v>32400</v>
      </c>
      <c r="R49" s="19">
        <v>8.8999999999999996E-2</v>
      </c>
      <c r="S49" s="19">
        <v>7.9000000000000001E-2</v>
      </c>
      <c r="T49" s="102">
        <v>881.17154811715477</v>
      </c>
      <c r="U49" s="82"/>
      <c r="V49" s="12">
        <v>10.53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12">
        <v>0</v>
      </c>
      <c r="AE49" s="13">
        <v>0</v>
      </c>
      <c r="AF49" s="12">
        <v>0</v>
      </c>
      <c r="AG49" s="13">
        <v>0</v>
      </c>
      <c r="AH49" s="12">
        <v>0</v>
      </c>
      <c r="AI49" s="13">
        <v>0</v>
      </c>
      <c r="AJ49" s="12">
        <v>10.53</v>
      </c>
      <c r="AK49" s="12">
        <f>('3-Fiscal Support for HE'!C49/1000000)-AJ49</f>
        <v>0</v>
      </c>
      <c r="AL49" s="11">
        <v>5051160000</v>
      </c>
      <c r="AM49" s="11"/>
      <c r="AN49" s="11"/>
      <c r="AO49" s="11"/>
      <c r="AP49" s="11"/>
      <c r="AQ49" s="16">
        <v>1059361</v>
      </c>
      <c r="AR49" s="16">
        <v>109551</v>
      </c>
      <c r="AS49" s="11"/>
      <c r="AT49" s="11"/>
      <c r="AU49" s="11"/>
      <c r="AV49" s="11"/>
      <c r="AW49" s="11"/>
    </row>
    <row r="50" spans="1:49" ht="12.75" x14ac:dyDescent="0.2">
      <c r="A50" s="64" t="s">
        <v>40</v>
      </c>
      <c r="B50" s="12">
        <v>7.0567969999999995</v>
      </c>
      <c r="C50" s="12">
        <f t="shared" si="2"/>
        <v>6.4061399999999997</v>
      </c>
      <c r="D50" s="12">
        <f t="shared" si="7"/>
        <v>0.20329</v>
      </c>
      <c r="E50" s="12">
        <v>6.2028499999999998</v>
      </c>
      <c r="F50" s="12">
        <f t="shared" si="8"/>
        <v>0.65065700000000004</v>
      </c>
      <c r="G50" s="12">
        <v>6.1998499999999996</v>
      </c>
      <c r="H50" s="13">
        <v>0.96779808121583355</v>
      </c>
      <c r="I50" s="12">
        <v>0.20329</v>
      </c>
      <c r="J50" s="13">
        <v>3.1733618060173524E-2</v>
      </c>
      <c r="K50" s="26">
        <f t="shared" si="3"/>
        <v>3.0000000000000001E-3</v>
      </c>
      <c r="L50" s="60">
        <f t="shared" si="3"/>
        <v>4.6830072399291933E-4</v>
      </c>
      <c r="M50" s="19">
        <v>2.9541301235344583E-2</v>
      </c>
      <c r="N50" s="26">
        <v>174.78759106163542</v>
      </c>
      <c r="O50" s="85">
        <v>132300</v>
      </c>
      <c r="P50" s="86">
        <f>AL50/1000000</f>
        <v>3757.32</v>
      </c>
      <c r="Q50" s="86">
        <v>28400</v>
      </c>
      <c r="R50" s="19">
        <v>7.4999999999999997E-2</v>
      </c>
      <c r="S50" s="19">
        <v>7.0999999999999994E-2</v>
      </c>
      <c r="T50" s="102">
        <v>660.03246753246754</v>
      </c>
      <c r="U50" s="82"/>
      <c r="V50" s="12">
        <v>0.20329</v>
      </c>
      <c r="W50" s="12">
        <v>0</v>
      </c>
      <c r="X50" s="12">
        <v>0</v>
      </c>
      <c r="Y50" s="12">
        <v>0.65065700000000004</v>
      </c>
      <c r="Z50" s="12">
        <v>0</v>
      </c>
      <c r="AA50" s="12">
        <v>0</v>
      </c>
      <c r="AB50" s="12">
        <v>0</v>
      </c>
      <c r="AC50" s="12">
        <v>0</v>
      </c>
      <c r="AD50" s="12">
        <v>0</v>
      </c>
      <c r="AE50" s="13">
        <v>0</v>
      </c>
      <c r="AF50" s="12">
        <v>3.0000000000000001E-3</v>
      </c>
      <c r="AG50" s="13">
        <v>4.6830072399291933E-4</v>
      </c>
      <c r="AH50" s="12">
        <v>0</v>
      </c>
      <c r="AI50" s="13">
        <v>0</v>
      </c>
      <c r="AJ50" s="12">
        <v>6.4061399999999997</v>
      </c>
      <c r="AK50" s="12">
        <f>('3-Fiscal Support for HE'!C50/1000000)-AJ50</f>
        <v>0.65065700000000071</v>
      </c>
      <c r="AL50" s="11">
        <v>3757320000</v>
      </c>
      <c r="AM50" s="11"/>
      <c r="AN50" s="11"/>
      <c r="AO50" s="11"/>
      <c r="AP50" s="11"/>
      <c r="AQ50" s="16">
        <v>884659</v>
      </c>
      <c r="AR50" s="16">
        <v>82396</v>
      </c>
      <c r="AS50" s="11"/>
      <c r="AT50" s="11"/>
      <c r="AU50" s="11"/>
      <c r="AV50" s="11"/>
      <c r="AW50" s="11"/>
    </row>
    <row r="51" spans="1:49" ht="12.75" x14ac:dyDescent="0.2">
      <c r="A51" s="64" t="s">
        <v>43</v>
      </c>
      <c r="B51" s="12">
        <v>178.88823400000001</v>
      </c>
      <c r="C51" s="12">
        <f t="shared" si="2"/>
        <v>18.457753</v>
      </c>
      <c r="D51" s="12">
        <f t="shared" si="7"/>
        <v>2.080368</v>
      </c>
      <c r="E51" s="12">
        <v>16.377385</v>
      </c>
      <c r="F51" s="12">
        <f t="shared" si="8"/>
        <v>159.637068</v>
      </c>
      <c r="G51" s="12">
        <v>16.141500000000001</v>
      </c>
      <c r="H51" s="13">
        <v>0.87451056474750744</v>
      </c>
      <c r="I51" s="12">
        <v>2.080368</v>
      </c>
      <c r="J51" s="13">
        <v>0.11270971065654632</v>
      </c>
      <c r="K51" s="26">
        <f t="shared" si="3"/>
        <v>0.23588500000000001</v>
      </c>
      <c r="L51" s="60">
        <f t="shared" si="3"/>
        <v>1.2779724595946214E-2</v>
      </c>
      <c r="M51" s="19">
        <v>0.16058604926231487</v>
      </c>
      <c r="N51" s="26">
        <v>69.750074633351844</v>
      </c>
      <c r="O51" s="85">
        <v>318400</v>
      </c>
      <c r="P51" s="86">
        <f>AL51/1000000</f>
        <v>10220.64</v>
      </c>
      <c r="Q51" s="86">
        <v>32100</v>
      </c>
      <c r="R51" s="19">
        <v>8.2000000000000003E-2</v>
      </c>
      <c r="S51" s="19">
        <v>6.2E-2</v>
      </c>
      <c r="T51" s="102">
        <v>877.42218473218054</v>
      </c>
      <c r="U51" s="82"/>
      <c r="V51" s="12">
        <v>2.080368</v>
      </c>
      <c r="W51" s="12">
        <v>0</v>
      </c>
      <c r="X51" s="12">
        <v>0</v>
      </c>
      <c r="Y51" s="12">
        <v>1.756127</v>
      </c>
      <c r="Z51" s="12">
        <v>0</v>
      </c>
      <c r="AA51" s="12">
        <v>0</v>
      </c>
      <c r="AB51" s="12">
        <v>157.88094100000001</v>
      </c>
      <c r="AC51" s="12">
        <v>0</v>
      </c>
      <c r="AD51" s="12">
        <v>0</v>
      </c>
      <c r="AE51" s="13">
        <v>0</v>
      </c>
      <c r="AF51" s="12">
        <v>0.23588500000000001</v>
      </c>
      <c r="AG51" s="13">
        <v>1.2779724595946214E-2</v>
      </c>
      <c r="AH51" s="12">
        <v>0</v>
      </c>
      <c r="AI51" s="13">
        <v>0</v>
      </c>
      <c r="AJ51" s="12">
        <v>18.457753</v>
      </c>
      <c r="AK51" s="12">
        <f>('3-Fiscal Support for HE'!C51/1000000)-AJ51</f>
        <v>160.43048100000001</v>
      </c>
      <c r="AL51" s="11">
        <v>10220640000</v>
      </c>
      <c r="AM51" s="11"/>
      <c r="AN51" s="11"/>
      <c r="AO51" s="11"/>
      <c r="AP51" s="11"/>
      <c r="AQ51" s="16">
        <v>3205958</v>
      </c>
      <c r="AR51" s="16">
        <v>362079</v>
      </c>
      <c r="AS51" s="11"/>
      <c r="AT51" s="11"/>
      <c r="AU51" s="11"/>
      <c r="AV51" s="11"/>
      <c r="AW51" s="11"/>
    </row>
    <row r="52" spans="1:49" ht="12.75" x14ac:dyDescent="0.2">
      <c r="A52" s="64" t="s">
        <v>44</v>
      </c>
      <c r="B52" s="12">
        <v>21.453505999999997</v>
      </c>
      <c r="C52" s="12">
        <f t="shared" si="2"/>
        <v>17.280463999999998</v>
      </c>
      <c r="D52" s="12">
        <f t="shared" si="7"/>
        <v>17.197496999999998</v>
      </c>
      <c r="E52" s="12">
        <v>8.2966999999999999E-2</v>
      </c>
      <c r="F52" s="12">
        <f t="shared" si="8"/>
        <v>0.56175600000000003</v>
      </c>
      <c r="G52" s="12">
        <v>8.2966999999999999E-2</v>
      </c>
      <c r="H52" s="13">
        <v>4.8012020973510899E-3</v>
      </c>
      <c r="I52" s="12">
        <v>16.674968</v>
      </c>
      <c r="J52" s="13">
        <v>0.96496066309330586</v>
      </c>
      <c r="K52" s="26">
        <f t="shared" si="3"/>
        <v>0.52252900000000002</v>
      </c>
      <c r="L52" s="60">
        <f t="shared" si="3"/>
        <v>3.0238134809343085E-2</v>
      </c>
      <c r="M52" s="19">
        <v>0.2230365509018212</v>
      </c>
      <c r="N52" s="26">
        <v>579.99812042693156</v>
      </c>
      <c r="O52" s="85">
        <v>92000</v>
      </c>
      <c r="P52" s="86">
        <f>AL52/1000000</f>
        <v>3155.6</v>
      </c>
      <c r="Q52" s="86">
        <v>34300</v>
      </c>
      <c r="R52" s="19">
        <v>6.3E-2</v>
      </c>
      <c r="S52" s="19">
        <v>6.5000000000000002E-2</v>
      </c>
      <c r="T52" s="102">
        <v>2017.8964276535594</v>
      </c>
      <c r="U52" s="82"/>
      <c r="V52" s="12">
        <v>14.754731</v>
      </c>
      <c r="W52" s="12">
        <v>2.4427660000000002</v>
      </c>
      <c r="X52" s="12">
        <v>0</v>
      </c>
      <c r="Y52" s="12">
        <v>0</v>
      </c>
      <c r="Z52" s="12">
        <v>0.56175600000000003</v>
      </c>
      <c r="AA52" s="12">
        <v>0</v>
      </c>
      <c r="AB52" s="12">
        <v>0</v>
      </c>
      <c r="AC52" s="12">
        <v>0</v>
      </c>
      <c r="AD52" s="12">
        <v>0</v>
      </c>
      <c r="AE52" s="13">
        <v>0</v>
      </c>
      <c r="AF52" s="12">
        <v>0.52252900000000002</v>
      </c>
      <c r="AG52" s="13">
        <v>3.0238134809343085E-2</v>
      </c>
      <c r="AH52" s="12">
        <v>0</v>
      </c>
      <c r="AI52" s="13">
        <v>0</v>
      </c>
      <c r="AJ52" s="12">
        <v>17.280463999999998</v>
      </c>
      <c r="AK52" s="12">
        <f>('3-Fiscal Support for HE'!C52/1000000)-AJ52</f>
        <v>4.1730419999999988</v>
      </c>
      <c r="AL52" s="11">
        <v>3155600000</v>
      </c>
      <c r="AM52" s="11"/>
      <c r="AN52" s="11"/>
      <c r="AO52" s="11"/>
      <c r="AP52" s="11"/>
      <c r="AQ52" s="16">
        <v>623989</v>
      </c>
      <c r="AR52" s="16">
        <v>65840</v>
      </c>
      <c r="AS52" s="11"/>
      <c r="AT52" s="11"/>
      <c r="AU52" s="11"/>
      <c r="AV52" s="11"/>
      <c r="AW52" s="11"/>
    </row>
    <row r="53" spans="1:49" ht="12.75" x14ac:dyDescent="0.2">
      <c r="A53" s="64" t="s">
        <v>46</v>
      </c>
      <c r="B53" s="12">
        <v>403.72976099999994</v>
      </c>
      <c r="C53" s="12">
        <f t="shared" si="2"/>
        <v>385.71397099999996</v>
      </c>
      <c r="D53" s="12">
        <f t="shared" si="7"/>
        <v>373.26921099999998</v>
      </c>
      <c r="E53" s="12">
        <v>12.44476</v>
      </c>
      <c r="F53" s="12">
        <f t="shared" si="8"/>
        <v>18.013155999999999</v>
      </c>
      <c r="G53" s="12">
        <v>0</v>
      </c>
      <c r="H53" s="13">
        <v>0</v>
      </c>
      <c r="I53" s="12">
        <v>347.47008599999998</v>
      </c>
      <c r="J53" s="13">
        <v>0.87629603961776104</v>
      </c>
      <c r="K53" s="26">
        <f t="shared" si="3"/>
        <v>49.051260999999997</v>
      </c>
      <c r="L53" s="60">
        <f t="shared" si="3"/>
        <v>0.12370396038223888</v>
      </c>
      <c r="M53" s="19">
        <v>0.19816251122159137</v>
      </c>
      <c r="N53" s="26">
        <v>1428.6073009300239</v>
      </c>
      <c r="O53" s="85">
        <v>840700</v>
      </c>
      <c r="P53" s="86">
        <f>AL53/1000000</f>
        <v>29424.5</v>
      </c>
      <c r="Q53" s="86">
        <v>35000</v>
      </c>
      <c r="R53" s="19">
        <v>8.5999999999999993E-2</v>
      </c>
      <c r="S53" s="19">
        <v>6.7000000000000004E-2</v>
      </c>
      <c r="T53" s="102">
        <v>4510.8980231537589</v>
      </c>
      <c r="U53" s="82"/>
      <c r="V53" s="12">
        <v>323.79677099999998</v>
      </c>
      <c r="W53" s="12">
        <v>49.472439999999999</v>
      </c>
      <c r="X53" s="12">
        <v>0.177175</v>
      </c>
      <c r="Y53" s="12">
        <v>4.4872019999999999</v>
      </c>
      <c r="Z53" s="12">
        <v>1.2313400000000001</v>
      </c>
      <c r="AA53" s="12">
        <v>12.117438999999999</v>
      </c>
      <c r="AB53" s="12">
        <v>0</v>
      </c>
      <c r="AC53" s="12">
        <v>0</v>
      </c>
      <c r="AD53" s="12">
        <v>0</v>
      </c>
      <c r="AE53" s="13">
        <v>0</v>
      </c>
      <c r="AF53" s="12">
        <v>49.051260999999997</v>
      </c>
      <c r="AG53" s="13">
        <v>0.12370396038223888</v>
      </c>
      <c r="AH53" s="12">
        <v>0</v>
      </c>
      <c r="AI53" s="13">
        <v>0</v>
      </c>
      <c r="AJ53" s="12">
        <v>396.52134699999999</v>
      </c>
      <c r="AK53" s="12">
        <f>('3-Fiscal Support for HE'!C53/1000000)-AJ53</f>
        <v>7.2084139999999479</v>
      </c>
      <c r="AL53" s="11">
        <v>29424500000</v>
      </c>
      <c r="AM53" s="11"/>
      <c r="AN53" s="11"/>
      <c r="AO53" s="11"/>
      <c r="AP53" s="11"/>
      <c r="AQ53" s="16">
        <v>7614893</v>
      </c>
      <c r="AR53" s="16">
        <v>658508</v>
      </c>
      <c r="AS53" s="11"/>
      <c r="AT53" s="11"/>
      <c r="AU53" s="11"/>
      <c r="AV53" s="11"/>
      <c r="AW53" s="11"/>
    </row>
    <row r="54" spans="1:49" ht="12.75" x14ac:dyDescent="0.2">
      <c r="A54" s="64" t="s">
        <v>47</v>
      </c>
      <c r="B54" s="12">
        <v>32.406712999999996</v>
      </c>
      <c r="C54" s="12">
        <f t="shared" si="2"/>
        <v>32.406712999999996</v>
      </c>
      <c r="D54" s="12">
        <f t="shared" si="7"/>
        <v>0.83176799999999995</v>
      </c>
      <c r="E54" s="12">
        <v>31.574945</v>
      </c>
      <c r="F54" s="12">
        <f t="shared" si="8"/>
        <v>0</v>
      </c>
      <c r="G54" s="12">
        <v>0</v>
      </c>
      <c r="H54" s="13">
        <v>0</v>
      </c>
      <c r="I54" s="12">
        <v>0.83176799999999995</v>
      </c>
      <c r="J54" s="13">
        <v>2.5666533967823275E-2</v>
      </c>
      <c r="K54" s="26">
        <f t="shared" si="3"/>
        <v>31.574945</v>
      </c>
      <c r="L54" s="60">
        <f t="shared" si="3"/>
        <v>0.97433346603217685</v>
      </c>
      <c r="M54" s="19">
        <v>0.37098360499410377</v>
      </c>
      <c r="N54" s="26">
        <v>713.75708653613185</v>
      </c>
      <c r="O54" s="85">
        <v>124600</v>
      </c>
      <c r="P54" s="86">
        <f>AL54/1000000</f>
        <v>7251.72</v>
      </c>
      <c r="Q54" s="86">
        <v>58200</v>
      </c>
      <c r="R54" s="19">
        <v>0.105</v>
      </c>
      <c r="S54" s="19">
        <v>7.0000000000000007E-2</v>
      </c>
      <c r="T54" s="102">
        <v>3798.027397260274</v>
      </c>
      <c r="U54" s="82"/>
      <c r="V54" s="12">
        <v>0.83176799999999995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12">
        <v>0</v>
      </c>
      <c r="AE54" s="13">
        <v>0</v>
      </c>
      <c r="AF54" s="12">
        <v>31.574945</v>
      </c>
      <c r="AG54" s="13">
        <v>0.97433346603217685</v>
      </c>
      <c r="AH54" s="12">
        <v>0</v>
      </c>
      <c r="AI54" s="13">
        <v>0</v>
      </c>
      <c r="AJ54" s="12">
        <v>32.406712999999996</v>
      </c>
      <c r="AK54" s="12">
        <f>('3-Fiscal Support for HE'!C54/1000000)-AJ54</f>
        <v>0</v>
      </c>
      <c r="AL54" s="11">
        <v>7251720000</v>
      </c>
      <c r="AM54" s="11"/>
      <c r="AN54" s="11"/>
      <c r="AO54" s="11"/>
      <c r="AP54" s="11"/>
      <c r="AQ54" s="16">
        <v>705749</v>
      </c>
      <c r="AR54" s="16">
        <v>72566</v>
      </c>
      <c r="AS54" s="11"/>
      <c r="AT54" s="11"/>
      <c r="AU54" s="11"/>
      <c r="AV54" s="11"/>
      <c r="AW54" s="11"/>
    </row>
    <row r="55" spans="1:49" ht="12.75" x14ac:dyDescent="0.2">
      <c r="A55" s="64" t="s">
        <v>49</v>
      </c>
      <c r="B55" s="12">
        <v>135.054699</v>
      </c>
      <c r="C55" s="12">
        <f t="shared" si="2"/>
        <v>126.120108</v>
      </c>
      <c r="D55" s="12">
        <f t="shared" si="7"/>
        <v>122.297927</v>
      </c>
      <c r="E55" s="12">
        <v>3.8221810000000001</v>
      </c>
      <c r="F55" s="12">
        <f t="shared" si="8"/>
        <v>8.9345910000000011</v>
      </c>
      <c r="G55" s="12">
        <v>3.8221810000000001</v>
      </c>
      <c r="H55" s="13">
        <v>3.0145198649344528E-2</v>
      </c>
      <c r="I55" s="12">
        <v>122.311379</v>
      </c>
      <c r="J55" s="13">
        <v>0.96465887330565114</v>
      </c>
      <c r="K55" s="26">
        <f t="shared" si="3"/>
        <v>0.65880399999999995</v>
      </c>
      <c r="L55" s="60">
        <f t="shared" si="3"/>
        <v>5.1959280450043499E-3</v>
      </c>
      <c r="M55" s="19">
        <v>8.584275372655456E-2</v>
      </c>
      <c r="N55" s="26">
        <v>557.50347223757092</v>
      </c>
      <c r="O55" s="85">
        <v>789800</v>
      </c>
      <c r="P55" s="86">
        <f>AL55/1000000</f>
        <v>24246.86</v>
      </c>
      <c r="Q55" s="86">
        <v>30700</v>
      </c>
      <c r="R55" s="19">
        <v>8.5999999999999993E-2</v>
      </c>
      <c r="S55" s="19">
        <v>7.1999999999999995E-2</v>
      </c>
      <c r="T55" s="102">
        <v>1617.4451795705265</v>
      </c>
      <c r="U55" s="82"/>
      <c r="V55" s="12">
        <v>112.45611100000001</v>
      </c>
      <c r="W55" s="12">
        <v>9.8418159999999997</v>
      </c>
      <c r="X55" s="12">
        <v>0.67225599999999996</v>
      </c>
      <c r="Y55" s="12">
        <v>0</v>
      </c>
      <c r="Z55" s="12">
        <v>0</v>
      </c>
      <c r="AA55" s="12">
        <v>0</v>
      </c>
      <c r="AB55" s="12">
        <v>0</v>
      </c>
      <c r="AC55" s="12">
        <v>8.2623350000000002</v>
      </c>
      <c r="AD55" s="12">
        <v>0</v>
      </c>
      <c r="AE55" s="13">
        <v>0</v>
      </c>
      <c r="AF55" s="12">
        <v>0.65880399999999995</v>
      </c>
      <c r="AG55" s="13">
        <v>5.1959280450043499E-3</v>
      </c>
      <c r="AH55" s="12">
        <v>0</v>
      </c>
      <c r="AI55" s="13">
        <v>0</v>
      </c>
      <c r="AJ55" s="12">
        <v>126.79236400000001</v>
      </c>
      <c r="AK55" s="12">
        <f>('3-Fiscal Support for HE'!C55/1000000)-AJ55</f>
        <v>8.2623349999999931</v>
      </c>
      <c r="AL55" s="11">
        <v>24246860000</v>
      </c>
      <c r="AM55" s="11"/>
      <c r="AN55" s="11"/>
      <c r="AO55" s="11"/>
      <c r="AP55" s="11"/>
      <c r="AQ55" s="16">
        <v>5822434</v>
      </c>
      <c r="AR55" s="16">
        <v>546070</v>
      </c>
      <c r="AS55" s="11"/>
      <c r="AT55" s="11"/>
      <c r="AU55" s="11"/>
      <c r="AV55" s="11"/>
      <c r="AW55" s="11"/>
    </row>
    <row r="56" spans="1:49" ht="13.5" thickBot="1" x14ac:dyDescent="0.25">
      <c r="A56" s="66" t="s">
        <v>50</v>
      </c>
      <c r="B56" s="43">
        <v>18.110071999999999</v>
      </c>
      <c r="C56" s="43">
        <f t="shared" si="2"/>
        <v>0</v>
      </c>
      <c r="D56" s="43">
        <f t="shared" si="7"/>
        <v>0</v>
      </c>
      <c r="E56" s="43">
        <v>0</v>
      </c>
      <c r="F56" s="43">
        <f t="shared" si="8"/>
        <v>0</v>
      </c>
      <c r="G56" s="43">
        <v>0</v>
      </c>
      <c r="H56" s="53">
        <v>0</v>
      </c>
      <c r="I56" s="43">
        <v>0</v>
      </c>
      <c r="J56" s="53">
        <v>0</v>
      </c>
      <c r="K56" s="58">
        <f t="shared" si="3"/>
        <v>0</v>
      </c>
      <c r="L56" s="80">
        <f t="shared" si="3"/>
        <v>0</v>
      </c>
      <c r="M56" s="108">
        <v>4.7063690238365471E-2</v>
      </c>
      <c r="N56" s="58">
        <v>0</v>
      </c>
      <c r="O56" s="109">
        <v>55300</v>
      </c>
      <c r="P56" s="110">
        <f>AL56/1000000</f>
        <v>1642.41</v>
      </c>
      <c r="Q56" s="110">
        <v>29700</v>
      </c>
      <c r="R56" s="108">
        <v>9.0999999999999998E-2</v>
      </c>
      <c r="S56" s="108">
        <v>7.1999999999999995E-2</v>
      </c>
      <c r="T56" s="111">
        <v>0</v>
      </c>
      <c r="U56" s="82"/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12">
        <v>0</v>
      </c>
      <c r="AB56" s="12">
        <v>0</v>
      </c>
      <c r="AC56" s="12">
        <v>0</v>
      </c>
      <c r="AD56" s="12">
        <v>0</v>
      </c>
      <c r="AE56" s="13">
        <v>0</v>
      </c>
      <c r="AF56" s="12">
        <v>0</v>
      </c>
      <c r="AG56" s="13">
        <v>0</v>
      </c>
      <c r="AH56" s="12">
        <v>0</v>
      </c>
      <c r="AI56" s="13">
        <v>0</v>
      </c>
      <c r="AJ56" s="12">
        <v>0</v>
      </c>
      <c r="AK56" s="12">
        <f>('3-Fiscal Support for HE'!C56/1000000)-AJ56</f>
        <v>18.110071999999999</v>
      </c>
      <c r="AL56" s="11">
        <v>1642410000</v>
      </c>
      <c r="AM56" s="11"/>
      <c r="AN56" s="11"/>
      <c r="AO56" s="11"/>
      <c r="AP56" s="11"/>
      <c r="AQ56" s="16">
        <v>578759</v>
      </c>
      <c r="AR56" s="16">
        <v>52521</v>
      </c>
      <c r="AS56" s="11"/>
      <c r="AT56" s="11"/>
      <c r="AU56" s="11"/>
      <c r="AV56" s="11"/>
      <c r="AW56" s="11"/>
    </row>
    <row r="57" spans="1:49" s="42" customFormat="1" ht="13.5" thickBot="1" x14ac:dyDescent="0.25">
      <c r="A57" s="113" t="s">
        <v>51</v>
      </c>
      <c r="B57" s="55">
        <v>14164.932699000003</v>
      </c>
      <c r="C57" s="55">
        <f t="shared" si="2"/>
        <v>12079.419592000002</v>
      </c>
      <c r="D57" s="55">
        <f t="shared" si="7"/>
        <v>8928.7258580000016</v>
      </c>
      <c r="E57" s="55">
        <v>3150.6937339999999</v>
      </c>
      <c r="F57" s="55">
        <f t="shared" si="8"/>
        <v>1804.6317790000001</v>
      </c>
      <c r="G57" s="55">
        <v>2603.7394880000002</v>
      </c>
      <c r="H57" s="114">
        <v>0.19768285355412379</v>
      </c>
      <c r="I57" s="55">
        <v>5803.3202910000009</v>
      </c>
      <c r="J57" s="114">
        <v>0.44060357055714333</v>
      </c>
      <c r="K57" s="116">
        <f t="shared" si="3"/>
        <v>4764.2367759999997</v>
      </c>
      <c r="L57" s="81">
        <f t="shared" si="3"/>
        <v>0.36171357588873293</v>
      </c>
      <c r="M57" s="117">
        <v>0.15372268310945172</v>
      </c>
      <c r="N57" s="116">
        <v>930.81777441872737</v>
      </c>
      <c r="O57" s="118">
        <f>SUM(O18:O56)</f>
        <v>43241700</v>
      </c>
      <c r="P57" s="119">
        <f t="shared" si="5"/>
        <v>1536384.56</v>
      </c>
      <c r="Q57" s="119">
        <f>AL57/O57</f>
        <v>35530.160932618281</v>
      </c>
      <c r="R57" s="117"/>
      <c r="S57" s="117"/>
      <c r="T57" s="120">
        <v>3093.435957829834</v>
      </c>
      <c r="U57" s="84"/>
      <c r="V57" s="41">
        <v>7159.3146460000007</v>
      </c>
      <c r="W57" s="41">
        <v>1769.4112120000002</v>
      </c>
      <c r="X57" s="41">
        <v>414.61608200000001</v>
      </c>
      <c r="Y57" s="41">
        <v>74.002877000000012</v>
      </c>
      <c r="Z57" s="41">
        <v>170.67733199999998</v>
      </c>
      <c r="AA57" s="41">
        <v>71.774955000000006</v>
      </c>
      <c r="AB57" s="41">
        <v>814.86884400000008</v>
      </c>
      <c r="AC57" s="41">
        <v>258.69168900000005</v>
      </c>
      <c r="AD57" s="41">
        <v>2921.9491039999994</v>
      </c>
      <c r="AE57" s="50">
        <v>0.22184217717661125</v>
      </c>
      <c r="AF57" s="41">
        <v>1490.0465340000001</v>
      </c>
      <c r="AG57" s="50">
        <v>0.11312831107992619</v>
      </c>
      <c r="AH57" s="41">
        <v>352.24113799999998</v>
      </c>
      <c r="AI57" s="50">
        <v>2.6743087632195524E-2</v>
      </c>
      <c r="AJ57" s="41">
        <v>13171.296554999999</v>
      </c>
      <c r="AK57" s="41">
        <f>SUM(AK18,AK21:AK56)</f>
        <v>993.63614400000097</v>
      </c>
      <c r="AL57" s="42">
        <f>SUM(AL18:AL56)</f>
        <v>1536384560000</v>
      </c>
      <c r="AQ57" s="51">
        <f>SUM(AQ2:AQ56)</f>
        <v>331433217</v>
      </c>
      <c r="AR57" s="51">
        <f>SUM(AR2:AR56)</f>
        <v>30219206</v>
      </c>
    </row>
    <row r="58" spans="1:49" ht="12.75" x14ac:dyDescent="0.2">
      <c r="A58" s="62"/>
      <c r="B58" s="44"/>
      <c r="C58" s="49"/>
      <c r="D58" s="49"/>
      <c r="E58" s="52"/>
      <c r="F58" s="52"/>
      <c r="G58" s="49"/>
      <c r="H58" s="56"/>
      <c r="I58" s="44"/>
      <c r="J58" s="56"/>
      <c r="K58" s="59"/>
      <c r="L58" s="61"/>
      <c r="M58" s="99"/>
      <c r="N58" s="59"/>
      <c r="O58" s="100"/>
      <c r="P58" s="101"/>
      <c r="Q58" s="101"/>
      <c r="R58" s="99"/>
      <c r="S58" s="99"/>
      <c r="T58" s="101"/>
      <c r="U58" s="26"/>
      <c r="W58" s="24"/>
      <c r="AC58" s="12">
        <f>SUM(X57:AC57)</f>
        <v>1804.6317790000001</v>
      </c>
      <c r="AI58" s="57">
        <f>AE57+AG57+AI57</f>
        <v>0.36171357588873293</v>
      </c>
      <c r="AL58" s="11"/>
      <c r="AM58" s="11"/>
      <c r="AN58" s="11"/>
      <c r="AO58" s="11"/>
      <c r="AP58" s="11"/>
      <c r="AS58" s="11"/>
      <c r="AT58" s="11"/>
      <c r="AU58" s="11"/>
      <c r="AV58" s="11"/>
      <c r="AW58" s="11"/>
    </row>
    <row r="59" spans="1:49" ht="12.75" x14ac:dyDescent="0.2">
      <c r="M59" s="19"/>
      <c r="N59" s="26"/>
      <c r="O59" s="85"/>
      <c r="P59" s="86"/>
      <c r="Q59" s="86"/>
      <c r="R59" s="19"/>
      <c r="S59" s="19"/>
      <c r="T59" s="86"/>
      <c r="U59" s="26"/>
      <c r="AL59" s="11"/>
      <c r="AM59" s="11"/>
      <c r="AN59" s="11"/>
      <c r="AO59" s="11"/>
      <c r="AP59" s="11"/>
      <c r="AS59" s="11"/>
      <c r="AT59" s="11"/>
      <c r="AU59" s="11"/>
      <c r="AV59" s="11"/>
      <c r="AW59" s="11"/>
    </row>
    <row r="60" spans="1:49" ht="12.75" x14ac:dyDescent="0.2">
      <c r="M60" s="19"/>
      <c r="N60" s="26"/>
      <c r="O60" s="85"/>
      <c r="P60" s="86"/>
      <c r="Q60" s="86"/>
      <c r="R60" s="19"/>
      <c r="S60" s="19"/>
      <c r="T60" s="86"/>
      <c r="U60" s="26"/>
      <c r="AL60" s="11"/>
      <c r="AM60" s="11"/>
      <c r="AN60" s="11"/>
      <c r="AO60" s="11"/>
      <c r="AP60" s="11"/>
      <c r="AS60" s="11"/>
      <c r="AT60" s="11"/>
      <c r="AU60" s="11"/>
      <c r="AV60" s="11"/>
      <c r="AW60" s="11"/>
    </row>
    <row r="61" spans="1:49" ht="12.75" x14ac:dyDescent="0.2">
      <c r="M61" s="19"/>
      <c r="N61" s="26"/>
      <c r="O61" s="85"/>
      <c r="P61" s="86"/>
      <c r="Q61" s="86"/>
      <c r="R61" s="19"/>
      <c r="S61" s="19"/>
      <c r="T61" s="86"/>
      <c r="U61" s="26"/>
      <c r="AL61" s="11"/>
      <c r="AM61" s="11"/>
      <c r="AN61" s="11"/>
      <c r="AO61" s="11"/>
      <c r="AP61" s="11"/>
      <c r="AS61" s="11"/>
      <c r="AT61" s="11"/>
      <c r="AU61" s="11"/>
      <c r="AV61" s="11"/>
      <c r="AW61" s="11"/>
    </row>
    <row r="62" spans="1:49" ht="12.75" x14ac:dyDescent="0.2">
      <c r="M62" s="19"/>
      <c r="N62" s="26"/>
      <c r="O62" s="85"/>
      <c r="P62" s="86"/>
      <c r="Q62" s="86"/>
      <c r="R62" s="19"/>
      <c r="S62" s="19"/>
      <c r="T62" s="86"/>
      <c r="U62" s="26"/>
      <c r="AL62" s="11"/>
      <c r="AM62" s="11"/>
      <c r="AN62" s="11"/>
      <c r="AO62" s="11"/>
      <c r="AP62" s="11"/>
      <c r="AS62" s="11"/>
      <c r="AT62" s="11"/>
      <c r="AU62" s="11"/>
      <c r="AV62" s="11"/>
      <c r="AW62" s="11"/>
    </row>
    <row r="63" spans="1:49" ht="12.75" x14ac:dyDescent="0.2">
      <c r="M63" s="19"/>
      <c r="N63" s="26"/>
      <c r="O63" s="85"/>
      <c r="P63" s="86"/>
      <c r="Q63" s="86"/>
      <c r="R63" s="19"/>
      <c r="S63" s="19"/>
      <c r="T63" s="86"/>
      <c r="U63" s="26"/>
      <c r="AL63" s="11"/>
      <c r="AM63" s="11"/>
      <c r="AN63" s="11"/>
      <c r="AO63" s="11"/>
      <c r="AP63" s="11"/>
      <c r="AS63" s="11"/>
      <c r="AT63" s="11"/>
      <c r="AU63" s="11"/>
      <c r="AV63" s="11"/>
      <c r="AW63" s="11"/>
    </row>
    <row r="64" spans="1:49" ht="12.75" x14ac:dyDescent="0.2">
      <c r="M64" s="19"/>
      <c r="N64" s="26"/>
      <c r="O64" s="85"/>
      <c r="P64" s="86"/>
      <c r="Q64" s="86"/>
      <c r="R64" s="19"/>
      <c r="S64" s="19"/>
      <c r="T64" s="86"/>
      <c r="U64" s="26"/>
      <c r="AL64" s="11"/>
      <c r="AM64" s="11"/>
      <c r="AN64" s="11"/>
      <c r="AO64" s="11"/>
      <c r="AP64" s="11"/>
      <c r="AS64" s="11"/>
      <c r="AT64" s="11"/>
      <c r="AU64" s="11"/>
      <c r="AV64" s="11"/>
      <c r="AW64" s="11"/>
    </row>
    <row r="65" spans="13:44" s="11" customFormat="1" ht="12.75" x14ac:dyDescent="0.2">
      <c r="M65" s="19"/>
      <c r="N65" s="26"/>
      <c r="O65" s="85"/>
      <c r="P65" s="86"/>
      <c r="Q65" s="86"/>
      <c r="R65" s="19"/>
      <c r="S65" s="19"/>
      <c r="T65" s="86"/>
      <c r="U65" s="26"/>
      <c r="AQ65" s="23"/>
      <c r="AR65" s="23"/>
    </row>
    <row r="66" spans="13:44" s="11" customFormat="1" ht="12.75" x14ac:dyDescent="0.2">
      <c r="M66" s="19"/>
      <c r="N66" s="26"/>
      <c r="O66" s="85"/>
      <c r="P66" s="86"/>
      <c r="Q66" s="86"/>
      <c r="R66" s="19"/>
      <c r="S66" s="19"/>
      <c r="T66" s="86"/>
      <c r="U66" s="26"/>
      <c r="AQ66" s="23"/>
      <c r="AR66" s="23"/>
    </row>
    <row r="67" spans="13:44" s="11" customFormat="1" ht="12.75" x14ac:dyDescent="0.2">
      <c r="M67" s="19"/>
      <c r="N67" s="26"/>
      <c r="O67" s="85"/>
      <c r="P67" s="86"/>
      <c r="Q67" s="86"/>
      <c r="R67" s="19"/>
      <c r="S67" s="19"/>
      <c r="T67" s="86"/>
      <c r="U67" s="26"/>
      <c r="AQ67" s="23"/>
      <c r="AR67" s="23"/>
    </row>
    <row r="68" spans="13:44" s="11" customFormat="1" ht="12.75" x14ac:dyDescent="0.2">
      <c r="M68" s="19"/>
      <c r="N68" s="26"/>
      <c r="O68" s="85"/>
      <c r="P68" s="86"/>
      <c r="Q68" s="86"/>
      <c r="R68" s="19"/>
      <c r="S68" s="19"/>
      <c r="T68" s="86"/>
      <c r="U68" s="26"/>
      <c r="AQ68" s="23"/>
      <c r="AR68" s="23"/>
    </row>
    <row r="69" spans="13:44" s="11" customFormat="1" ht="12.75" x14ac:dyDescent="0.2">
      <c r="M69" s="19"/>
      <c r="N69" s="26"/>
      <c r="O69" s="85"/>
      <c r="P69" s="86"/>
      <c r="Q69" s="86"/>
      <c r="R69" s="19"/>
      <c r="S69" s="19"/>
      <c r="T69" s="86"/>
      <c r="U69" s="26"/>
      <c r="AQ69" s="23"/>
      <c r="AR69" s="23"/>
    </row>
    <row r="70" spans="13:44" s="11" customFormat="1" ht="12.75" x14ac:dyDescent="0.2">
      <c r="M70" s="19"/>
      <c r="N70" s="26"/>
      <c r="O70" s="85"/>
      <c r="P70" s="86"/>
      <c r="Q70" s="86"/>
      <c r="R70" s="19"/>
      <c r="S70" s="19"/>
      <c r="T70" s="86"/>
      <c r="U70" s="26"/>
      <c r="AQ70" s="23"/>
      <c r="AR70" s="23"/>
    </row>
    <row r="71" spans="13:44" s="11" customFormat="1" ht="12.75" x14ac:dyDescent="0.2">
      <c r="M71" s="19"/>
      <c r="N71" s="26"/>
      <c r="O71" s="85"/>
      <c r="P71" s="86"/>
      <c r="Q71" s="86"/>
      <c r="R71" s="19"/>
      <c r="S71" s="19"/>
      <c r="T71" s="86"/>
      <c r="U71" s="26"/>
      <c r="AQ71" s="23"/>
      <c r="AR71" s="23"/>
    </row>
    <row r="72" spans="13:44" s="11" customFormat="1" ht="12.75" x14ac:dyDescent="0.2">
      <c r="M72" s="19"/>
      <c r="N72" s="26"/>
      <c r="O72" s="85"/>
      <c r="P72" s="86"/>
      <c r="Q72" s="86"/>
      <c r="R72" s="19"/>
      <c r="S72" s="19"/>
      <c r="T72" s="86"/>
      <c r="U72" s="26"/>
      <c r="AQ72" s="23"/>
      <c r="AR72" s="23"/>
    </row>
    <row r="73" spans="13:44" s="11" customFormat="1" ht="12.75" x14ac:dyDescent="0.2">
      <c r="M73" s="19"/>
      <c r="N73" s="26"/>
      <c r="O73" s="85"/>
      <c r="P73" s="86"/>
      <c r="Q73" s="86"/>
      <c r="R73" s="19"/>
      <c r="S73" s="19"/>
      <c r="T73" s="86"/>
      <c r="U73" s="26"/>
      <c r="AQ73" s="23"/>
      <c r="AR73" s="23"/>
    </row>
    <row r="74" spans="13:44" s="11" customFormat="1" ht="12.75" x14ac:dyDescent="0.2">
      <c r="M74" s="19"/>
      <c r="N74" s="26"/>
      <c r="O74" s="85"/>
      <c r="P74" s="86"/>
      <c r="Q74" s="86"/>
      <c r="R74" s="19"/>
      <c r="S74" s="19"/>
      <c r="T74" s="86"/>
      <c r="U74" s="26"/>
      <c r="AQ74" s="23"/>
      <c r="AR74" s="23"/>
    </row>
    <row r="75" spans="13:44" s="11" customFormat="1" ht="12.75" x14ac:dyDescent="0.2">
      <c r="M75" s="19"/>
      <c r="N75" s="26"/>
      <c r="O75" s="85"/>
      <c r="P75" s="86"/>
      <c r="Q75" s="86"/>
      <c r="R75" s="19"/>
      <c r="S75" s="19"/>
      <c r="T75" s="86"/>
      <c r="U75" s="26"/>
      <c r="AQ75" s="23"/>
      <c r="AR75" s="23"/>
    </row>
    <row r="76" spans="13:44" s="11" customFormat="1" ht="12.75" x14ac:dyDescent="0.2">
      <c r="M76" s="19"/>
      <c r="N76" s="26"/>
      <c r="O76" s="85"/>
      <c r="P76" s="86"/>
      <c r="Q76" s="86"/>
      <c r="R76" s="19"/>
      <c r="S76" s="19"/>
      <c r="T76" s="86"/>
      <c r="U76" s="26"/>
      <c r="AQ76" s="23"/>
      <c r="AR76" s="23"/>
    </row>
    <row r="77" spans="13:44" s="11" customFormat="1" ht="12.75" x14ac:dyDescent="0.2">
      <c r="M77" s="19"/>
      <c r="N77" s="26"/>
      <c r="O77" s="85"/>
      <c r="P77" s="86"/>
      <c r="Q77" s="86"/>
      <c r="R77" s="19"/>
      <c r="S77" s="19"/>
      <c r="T77" s="86"/>
      <c r="U77" s="26"/>
      <c r="AQ77" s="23"/>
      <c r="AR77" s="23"/>
    </row>
    <row r="78" spans="13:44" s="11" customFormat="1" ht="12.75" x14ac:dyDescent="0.2">
      <c r="M78" s="19"/>
      <c r="N78" s="26"/>
      <c r="O78" s="85"/>
      <c r="P78" s="86"/>
      <c r="Q78" s="86"/>
      <c r="R78" s="19"/>
      <c r="S78" s="19"/>
      <c r="T78" s="86"/>
      <c r="U78" s="26"/>
      <c r="AQ78" s="23"/>
      <c r="AR78" s="23"/>
    </row>
    <row r="79" spans="13:44" s="11" customFormat="1" ht="12.75" x14ac:dyDescent="0.2">
      <c r="M79" s="19"/>
      <c r="N79" s="26"/>
      <c r="O79" s="85"/>
      <c r="P79" s="86"/>
      <c r="Q79" s="86"/>
      <c r="R79" s="19"/>
      <c r="S79" s="19"/>
      <c r="T79" s="86"/>
      <c r="U79" s="26"/>
      <c r="AQ79" s="23"/>
      <c r="AR79" s="23"/>
    </row>
    <row r="80" spans="13:44" s="11" customFormat="1" ht="12.75" x14ac:dyDescent="0.2">
      <c r="M80" s="19"/>
      <c r="N80" s="26"/>
      <c r="O80" s="85"/>
      <c r="P80" s="86"/>
      <c r="Q80" s="86"/>
      <c r="R80" s="19"/>
      <c r="S80" s="19"/>
      <c r="T80" s="86"/>
      <c r="U80" s="26"/>
      <c r="AQ80" s="23"/>
      <c r="AR80" s="23"/>
    </row>
    <row r="81" spans="13:49" s="11" customFormat="1" ht="12.75" x14ac:dyDescent="0.2">
      <c r="M81" s="19"/>
      <c r="N81" s="26"/>
      <c r="O81" s="85"/>
      <c r="P81" s="86"/>
      <c r="Q81" s="86"/>
      <c r="R81" s="19"/>
      <c r="S81" s="19"/>
      <c r="T81" s="86"/>
      <c r="U81" s="26"/>
      <c r="AQ81" s="23"/>
      <c r="AR81" s="23"/>
    </row>
    <row r="82" spans="13:49" s="11" customFormat="1" ht="12.75" x14ac:dyDescent="0.2">
      <c r="M82" s="19"/>
      <c r="N82" s="26"/>
      <c r="O82" s="85"/>
      <c r="P82" s="86"/>
      <c r="Q82" s="86"/>
      <c r="R82" s="19"/>
      <c r="S82" s="19"/>
      <c r="T82" s="86"/>
      <c r="U82" s="26"/>
      <c r="AQ82" s="23"/>
      <c r="AR82" s="23"/>
    </row>
    <row r="83" spans="13:49" s="11" customFormat="1" ht="12.75" x14ac:dyDescent="0.2">
      <c r="M83" s="19"/>
      <c r="N83" s="26"/>
      <c r="O83" s="85"/>
      <c r="P83" s="86"/>
      <c r="Q83" s="86"/>
      <c r="R83" s="19"/>
      <c r="S83" s="19"/>
      <c r="T83" s="86"/>
      <c r="U83" s="26"/>
      <c r="AQ83" s="23"/>
      <c r="AR83" s="23"/>
    </row>
    <row r="84" spans="13:49" s="11" customFormat="1" ht="12.75" x14ac:dyDescent="0.2">
      <c r="M84" s="19"/>
      <c r="N84" s="26"/>
      <c r="O84" s="85"/>
      <c r="P84" s="86"/>
      <c r="Q84" s="86"/>
      <c r="R84" s="19"/>
      <c r="S84" s="19"/>
      <c r="T84" s="86"/>
      <c r="U84" s="26"/>
      <c r="AQ84" s="23"/>
      <c r="AR84" s="23"/>
    </row>
    <row r="85" spans="13:49" s="11" customFormat="1" ht="12.75" x14ac:dyDescent="0.2">
      <c r="M85" s="19"/>
      <c r="N85" s="26"/>
      <c r="O85" s="85"/>
      <c r="P85" s="86"/>
      <c r="Q85" s="86"/>
      <c r="R85" s="19"/>
      <c r="S85" s="19"/>
      <c r="T85" s="86"/>
      <c r="U85" s="26"/>
      <c r="AQ85" s="23"/>
      <c r="AR85" s="23"/>
    </row>
    <row r="86" spans="13:49" s="11" customFormat="1" ht="12.75" x14ac:dyDescent="0.2">
      <c r="M86" s="19"/>
      <c r="N86" s="26"/>
      <c r="O86" s="85"/>
      <c r="P86" s="86"/>
      <c r="Q86" s="86"/>
      <c r="R86" s="19"/>
      <c r="S86" s="19"/>
      <c r="T86" s="86"/>
      <c r="U86" s="26"/>
      <c r="AQ86" s="23"/>
      <c r="AR86" s="23"/>
    </row>
    <row r="87" spans="13:49" s="11" customFormat="1" ht="12.75" x14ac:dyDescent="0.2">
      <c r="M87" s="19"/>
      <c r="N87" s="26"/>
      <c r="O87" s="85"/>
      <c r="P87" s="86"/>
      <c r="Q87" s="86"/>
      <c r="R87" s="19"/>
      <c r="S87" s="19"/>
      <c r="T87" s="86"/>
      <c r="U87" s="26"/>
      <c r="AQ87" s="23"/>
      <c r="AR87" s="23"/>
    </row>
    <row r="88" spans="13:49" s="11" customFormat="1" ht="12.75" x14ac:dyDescent="0.2">
      <c r="M88" s="19"/>
      <c r="N88" s="26"/>
      <c r="O88" s="85"/>
      <c r="P88" s="86"/>
      <c r="Q88" s="86"/>
      <c r="R88" s="19"/>
      <c r="S88" s="19"/>
      <c r="T88" s="86"/>
      <c r="U88" s="26"/>
      <c r="AQ88" s="23"/>
      <c r="AR88" s="23"/>
    </row>
    <row r="89" spans="13:49" s="11" customFormat="1" ht="12.75" x14ac:dyDescent="0.2">
      <c r="M89" s="19"/>
      <c r="N89" s="26"/>
      <c r="O89" s="85"/>
      <c r="P89" s="86"/>
      <c r="Q89" s="86"/>
      <c r="R89" s="19"/>
      <c r="S89" s="19"/>
      <c r="T89" s="86"/>
      <c r="U89" s="26"/>
      <c r="AQ89" s="23"/>
      <c r="AR89" s="23"/>
    </row>
    <row r="90" spans="13:49" s="11" customFormat="1" ht="12.75" x14ac:dyDescent="0.2">
      <c r="M90" s="19"/>
      <c r="N90" s="26"/>
      <c r="O90" s="85"/>
      <c r="P90" s="86"/>
      <c r="Q90" s="86"/>
      <c r="R90" s="19"/>
      <c r="S90" s="19"/>
      <c r="T90" s="86"/>
      <c r="U90" s="26"/>
      <c r="AQ90" s="23"/>
      <c r="AR90" s="23"/>
    </row>
    <row r="91" spans="13:49" s="11" customFormat="1" ht="12.75" x14ac:dyDescent="0.2">
      <c r="M91" s="19"/>
      <c r="N91" s="26"/>
      <c r="O91" s="85"/>
      <c r="P91" s="86"/>
      <c r="Q91" s="86"/>
      <c r="R91" s="19"/>
      <c r="S91" s="19"/>
      <c r="T91" s="86"/>
      <c r="U91" s="26"/>
      <c r="AQ91" s="23"/>
      <c r="AR91" s="23"/>
    </row>
    <row r="92" spans="13:49" s="11" customFormat="1" ht="12.75" x14ac:dyDescent="0.2">
      <c r="M92" s="19"/>
      <c r="N92" s="26"/>
      <c r="O92" s="85"/>
      <c r="P92" s="86"/>
      <c r="Q92" s="86"/>
      <c r="R92" s="19"/>
      <c r="S92" s="19"/>
      <c r="T92" s="86"/>
      <c r="U92" s="26"/>
      <c r="AQ92" s="23"/>
      <c r="AR92" s="23"/>
    </row>
    <row r="93" spans="13:49" s="11" customFormat="1" x14ac:dyDescent="0.25">
      <c r="M93" s="19"/>
      <c r="N93" s="26"/>
      <c r="O93" s="85"/>
      <c r="P93" s="86"/>
      <c r="Q93" s="86"/>
      <c r="R93" s="19"/>
      <c r="S93" s="19"/>
      <c r="T93" s="86"/>
      <c r="U93" s="26"/>
      <c r="AQ93" s="23"/>
      <c r="AR93" s="23"/>
      <c r="AS93" s="97"/>
      <c r="AT93" s="97"/>
      <c r="AU93" s="97"/>
      <c r="AV93" s="97"/>
      <c r="AW93" s="9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B9C83-2CB5-4136-83B0-E59F57C4E9D9}">
  <dimension ref="A1:AK93"/>
  <sheetViews>
    <sheetView topLeftCell="A8" workbookViewId="0">
      <pane xSplit="1" topLeftCell="G1" activePane="topRight" state="frozen"/>
      <selection pane="topRight" activeCell="G8" sqref="G8"/>
    </sheetView>
  </sheetViews>
  <sheetFormatPr defaultRowHeight="15" x14ac:dyDescent="0.25"/>
  <cols>
    <col min="1" max="1" width="15.42578125" style="11" customWidth="1"/>
    <col min="2" max="2" width="10.42578125" style="12" customWidth="1"/>
    <col min="3" max="4" width="10.7109375" style="12" bestFit="1" customWidth="1"/>
    <col min="5" max="5" width="11.28515625" style="12" customWidth="1"/>
    <col min="6" max="6" width="9.42578125" style="12" bestFit="1" customWidth="1"/>
    <col min="7" max="7" width="10.85546875" style="12" customWidth="1"/>
    <col min="8" max="8" width="11.140625" style="12" customWidth="1"/>
    <col min="9" max="10" width="9.42578125" style="12" bestFit="1" customWidth="1"/>
    <col min="11" max="11" width="10" style="12" bestFit="1" customWidth="1"/>
    <col min="12" max="12" width="10.5703125" style="12" bestFit="1" customWidth="1"/>
    <col min="13" max="13" width="9.28515625" style="23" bestFit="1" customWidth="1"/>
    <col min="14" max="14" width="10.28515625" style="12" customWidth="1"/>
    <col min="15" max="15" width="9.28515625" style="23" bestFit="1" customWidth="1"/>
    <col min="16" max="16" width="10.5703125" style="12" bestFit="1" customWidth="1"/>
    <col min="17" max="17" width="9.28515625" style="23" bestFit="1" customWidth="1"/>
    <col min="18" max="18" width="10.5703125" style="12" bestFit="1" customWidth="1"/>
    <col min="19" max="19" width="9.28515625" style="23" bestFit="1" customWidth="1"/>
    <col min="20" max="20" width="11.85546875" style="12" customWidth="1"/>
    <col min="21" max="21" width="12.140625" style="23" customWidth="1"/>
    <col min="22" max="22" width="12.5703125" style="12" customWidth="1"/>
    <col min="23" max="23" width="10.85546875" style="12" customWidth="1"/>
    <col min="24" max="24" width="11.5703125" style="12" customWidth="1"/>
    <col min="31" max="31" width="11" style="23" hidden="1" customWidth="1"/>
    <col min="32" max="32" width="10.5703125" style="23" hidden="1" customWidth="1"/>
    <col min="38" max="16384" width="9.140625" style="11"/>
  </cols>
  <sheetData>
    <row r="1" spans="1:37" s="6" customFormat="1" ht="89.25" x14ac:dyDescent="0.2">
      <c r="A1" s="6" t="s">
        <v>104</v>
      </c>
      <c r="B1" s="7" t="s">
        <v>114</v>
      </c>
      <c r="C1" s="7" t="s">
        <v>115</v>
      </c>
      <c r="D1" s="7" t="s">
        <v>118</v>
      </c>
      <c r="E1" s="7" t="s">
        <v>149</v>
      </c>
      <c r="F1" s="7" t="s">
        <v>116</v>
      </c>
      <c r="G1" s="7" t="s">
        <v>117</v>
      </c>
      <c r="H1" s="7" t="s">
        <v>119</v>
      </c>
      <c r="I1" s="7" t="s">
        <v>120</v>
      </c>
      <c r="J1" s="7" t="s">
        <v>121</v>
      </c>
      <c r="K1" s="7" t="s">
        <v>122</v>
      </c>
      <c r="L1" s="4" t="s">
        <v>129</v>
      </c>
      <c r="M1" s="2" t="s">
        <v>143</v>
      </c>
      <c r="N1" s="4" t="s">
        <v>130</v>
      </c>
      <c r="O1" s="2" t="s">
        <v>144</v>
      </c>
      <c r="P1" s="4" t="s">
        <v>131</v>
      </c>
      <c r="Q1" s="3" t="s">
        <v>145</v>
      </c>
      <c r="R1" s="4" t="s">
        <v>132</v>
      </c>
      <c r="S1" s="2" t="s">
        <v>146</v>
      </c>
      <c r="T1" s="4" t="s">
        <v>133</v>
      </c>
      <c r="U1" s="2" t="s">
        <v>147</v>
      </c>
      <c r="V1" s="4" t="s">
        <v>134</v>
      </c>
      <c r="W1" s="4" t="s">
        <v>135</v>
      </c>
      <c r="X1" s="7" t="s">
        <v>136</v>
      </c>
      <c r="AE1" s="6" t="s">
        <v>110</v>
      </c>
      <c r="AF1" s="6" t="s">
        <v>111</v>
      </c>
    </row>
    <row r="2" spans="1:37" ht="12.75" x14ac:dyDescent="0.2">
      <c r="A2" s="11" t="s">
        <v>0</v>
      </c>
      <c r="B2" s="12">
        <v>4.0002940000000002</v>
      </c>
      <c r="C2" s="12">
        <v>68.422955000000002</v>
      </c>
      <c r="D2" s="12">
        <v>5.2547319999999997</v>
      </c>
      <c r="E2" s="12">
        <f>SUM(B2:D2)</f>
        <v>77.677981000000003</v>
      </c>
      <c r="F2" s="12">
        <v>0</v>
      </c>
      <c r="G2" s="12">
        <v>0</v>
      </c>
      <c r="H2" s="12">
        <v>0.16602700000000001</v>
      </c>
      <c r="I2" s="12">
        <v>0</v>
      </c>
      <c r="J2" s="12">
        <v>0</v>
      </c>
      <c r="K2" s="12">
        <v>0</v>
      </c>
      <c r="L2" s="12">
        <v>0</v>
      </c>
      <c r="M2" s="13">
        <v>0</v>
      </c>
      <c r="N2" s="12">
        <v>4.0002940000000002</v>
      </c>
      <c r="O2" s="13">
        <v>5.149842913656575E-2</v>
      </c>
      <c r="P2" s="12">
        <v>0.1241</v>
      </c>
      <c r="Q2" s="13">
        <v>1.597621338793551E-3</v>
      </c>
      <c r="R2" s="12">
        <v>73.553586999999993</v>
      </c>
      <c r="S2" s="13">
        <v>0.94690394952464074</v>
      </c>
      <c r="T2" s="12">
        <v>0</v>
      </c>
      <c r="U2" s="13">
        <v>0</v>
      </c>
      <c r="V2" s="12">
        <v>77.677980999999988</v>
      </c>
      <c r="W2" s="12">
        <f>('3-Fiscal Support for HE'!C2/1000000)-V2</f>
        <v>2.6400210000000186</v>
      </c>
      <c r="X2" s="12">
        <v>80.318001999999993</v>
      </c>
      <c r="Y2" s="11"/>
      <c r="Z2" s="11"/>
      <c r="AA2" s="11"/>
      <c r="AB2" s="11"/>
      <c r="AC2" s="11"/>
      <c r="AD2" s="11"/>
      <c r="AE2" s="16">
        <v>4903185</v>
      </c>
      <c r="AF2" s="16">
        <v>450224</v>
      </c>
      <c r="AG2" s="11"/>
      <c r="AH2" s="11"/>
      <c r="AI2" s="11"/>
      <c r="AJ2" s="11"/>
      <c r="AK2" s="11"/>
    </row>
    <row r="3" spans="1:37" ht="12.75" x14ac:dyDescent="0.2">
      <c r="A3" s="11" t="s">
        <v>3</v>
      </c>
      <c r="B3" s="12">
        <v>1.7761579999999999</v>
      </c>
      <c r="C3" s="12">
        <v>0.17499999999999999</v>
      </c>
      <c r="D3" s="12">
        <v>106.97663900000001</v>
      </c>
      <c r="E3" s="12">
        <f t="shared" ref="E3:E57" si="0">SUM(B3:D3)</f>
        <v>108.92779700000001</v>
      </c>
      <c r="F3" s="12">
        <v>0</v>
      </c>
      <c r="G3" s="12">
        <v>6.4991999999999994E-2</v>
      </c>
      <c r="H3" s="12">
        <v>0</v>
      </c>
      <c r="I3" s="12">
        <v>0</v>
      </c>
      <c r="J3" s="12">
        <v>1.752872</v>
      </c>
      <c r="K3" s="12">
        <v>0</v>
      </c>
      <c r="L3" s="12">
        <v>1.7761579999999999</v>
      </c>
      <c r="M3" s="13">
        <v>1.6047590026764293E-2</v>
      </c>
      <c r="N3" s="12">
        <v>0</v>
      </c>
      <c r="O3" s="13">
        <v>0</v>
      </c>
      <c r="P3" s="12">
        <v>105.40854899999999</v>
      </c>
      <c r="Q3" s="13">
        <v>0.95236638838892451</v>
      </c>
      <c r="R3" s="12">
        <v>3.4009619999999998</v>
      </c>
      <c r="S3" s="13">
        <v>3.0727696450768654E-2</v>
      </c>
      <c r="T3" s="12">
        <v>9.5000000000000001E-2</v>
      </c>
      <c r="U3" s="13">
        <v>8.5832513354251597E-4</v>
      </c>
      <c r="V3" s="12">
        <v>110.68066899999999</v>
      </c>
      <c r="W3" s="12">
        <f>('3-Fiscal Support for HE'!C3/1000000)-V3</f>
        <v>4.8174630000000178</v>
      </c>
      <c r="X3" s="12">
        <v>115.49813200000001</v>
      </c>
      <c r="Y3" s="11"/>
      <c r="Z3" s="11"/>
      <c r="AA3" s="11"/>
      <c r="AB3" s="11"/>
      <c r="AC3" s="11"/>
      <c r="AD3" s="11"/>
      <c r="AE3" s="16">
        <v>3017804</v>
      </c>
      <c r="AF3" s="16">
        <v>279060</v>
      </c>
      <c r="AG3" s="11"/>
      <c r="AH3" s="11"/>
      <c r="AI3" s="11"/>
      <c r="AJ3" s="11"/>
      <c r="AK3" s="11"/>
    </row>
    <row r="4" spans="1:37" ht="12.75" x14ac:dyDescent="0.2">
      <c r="A4" s="11" t="s">
        <v>7</v>
      </c>
      <c r="B4" s="12">
        <v>0.712283</v>
      </c>
      <c r="C4" s="12">
        <v>11.243016000000001</v>
      </c>
      <c r="D4" s="12">
        <v>5.0254060000000003</v>
      </c>
      <c r="E4" s="12">
        <f t="shared" si="0"/>
        <v>16.980705</v>
      </c>
      <c r="F4" s="12">
        <v>0</v>
      </c>
      <c r="G4" s="12">
        <v>0</v>
      </c>
      <c r="H4" s="12">
        <v>0.43378100000000003</v>
      </c>
      <c r="I4" s="12">
        <v>0</v>
      </c>
      <c r="J4" s="12">
        <v>0</v>
      </c>
      <c r="K4" s="12">
        <v>0</v>
      </c>
      <c r="L4" s="12">
        <v>11.243016000000001</v>
      </c>
      <c r="M4" s="13">
        <v>0.6565103038044845</v>
      </c>
      <c r="N4" s="12">
        <v>0.712283</v>
      </c>
      <c r="O4" s="13">
        <v>4.1592142955659731E-2</v>
      </c>
      <c r="P4" s="12">
        <v>4.4554010000000002</v>
      </c>
      <c r="Q4" s="13">
        <v>0.26016299043608976</v>
      </c>
      <c r="R4" s="12">
        <v>0.71472199999999997</v>
      </c>
      <c r="S4" s="13">
        <v>4.1734562803766244E-2</v>
      </c>
      <c r="T4" s="12">
        <v>0</v>
      </c>
      <c r="U4" s="13">
        <v>0</v>
      </c>
      <c r="V4" s="12">
        <v>17.125421999999997</v>
      </c>
      <c r="W4" s="12">
        <f>('3-Fiscal Support for HE'!C4/1000000)-V4</f>
        <v>7.0983080000000029</v>
      </c>
      <c r="X4" s="12">
        <v>24.22373</v>
      </c>
      <c r="Y4" s="11"/>
      <c r="Z4" s="11"/>
      <c r="AA4" s="11"/>
      <c r="AB4" s="11"/>
      <c r="AC4" s="11"/>
      <c r="AD4" s="11"/>
      <c r="AE4" s="16">
        <v>973764</v>
      </c>
      <c r="AF4" s="16">
        <v>82494</v>
      </c>
      <c r="AG4" s="11"/>
      <c r="AH4" s="11"/>
      <c r="AI4" s="11"/>
      <c r="AJ4" s="11"/>
      <c r="AK4" s="11"/>
    </row>
    <row r="5" spans="1:37" ht="12.75" x14ac:dyDescent="0.2">
      <c r="A5" s="11" t="s">
        <v>8</v>
      </c>
      <c r="B5" s="12">
        <v>268.77862299999998</v>
      </c>
      <c r="C5" s="12">
        <v>17.488357000000001</v>
      </c>
      <c r="D5" s="12">
        <v>569.05825800000002</v>
      </c>
      <c r="E5" s="12">
        <f t="shared" si="0"/>
        <v>855.32523800000001</v>
      </c>
      <c r="F5" s="12">
        <v>0</v>
      </c>
      <c r="G5" s="12">
        <v>0</v>
      </c>
      <c r="H5" s="12">
        <v>0</v>
      </c>
      <c r="I5" s="12">
        <v>1.396331</v>
      </c>
      <c r="J5" s="12">
        <v>0</v>
      </c>
      <c r="K5" s="12">
        <v>143.09682100000001</v>
      </c>
      <c r="L5" s="12">
        <v>270.17495400000001</v>
      </c>
      <c r="M5" s="13">
        <v>0.27022402938597684</v>
      </c>
      <c r="N5" s="12">
        <v>0.32100000000000001</v>
      </c>
      <c r="O5" s="13" t="s">
        <v>105</v>
      </c>
      <c r="P5" s="12">
        <v>544.40725799999996</v>
      </c>
      <c r="Q5" s="13">
        <v>0.54450614576113165</v>
      </c>
      <c r="R5" s="12">
        <v>184.915178</v>
      </c>
      <c r="S5" s="13">
        <v>0.18494876654549233</v>
      </c>
      <c r="T5" s="12">
        <v>0</v>
      </c>
      <c r="U5" s="13">
        <v>0</v>
      </c>
      <c r="V5" s="12">
        <v>999.81838999999991</v>
      </c>
      <c r="W5" s="12">
        <f>('3-Fiscal Support for HE'!C5/1000000)-V5</f>
        <v>10.000000000000114</v>
      </c>
      <c r="X5" s="12">
        <v>1009.81839</v>
      </c>
      <c r="Y5" s="11"/>
      <c r="Z5" s="11"/>
      <c r="AA5" s="11"/>
      <c r="AB5" s="11"/>
      <c r="AC5" s="11"/>
      <c r="AD5" s="11"/>
      <c r="AE5" s="16">
        <v>21477737</v>
      </c>
      <c r="AF5" s="16">
        <v>1742768</v>
      </c>
      <c r="AG5" s="11"/>
      <c r="AH5" s="11"/>
      <c r="AI5" s="11"/>
      <c r="AJ5" s="11"/>
      <c r="AK5" s="11"/>
    </row>
    <row r="6" spans="1:37" ht="12.75" x14ac:dyDescent="0.2">
      <c r="A6" s="11" t="s">
        <v>9</v>
      </c>
      <c r="B6" s="12">
        <v>0</v>
      </c>
      <c r="C6" s="12">
        <v>0</v>
      </c>
      <c r="D6" s="12">
        <v>855.488518</v>
      </c>
      <c r="E6" s="12">
        <f t="shared" si="0"/>
        <v>855.488518</v>
      </c>
      <c r="F6" s="12">
        <v>28.768326999999999</v>
      </c>
      <c r="G6" s="12">
        <v>0</v>
      </c>
      <c r="H6" s="12">
        <v>3.4902920000000002</v>
      </c>
      <c r="I6" s="12">
        <v>0</v>
      </c>
      <c r="J6" s="12">
        <v>0</v>
      </c>
      <c r="K6" s="12">
        <v>0.42166700000000001</v>
      </c>
      <c r="L6" s="12">
        <v>0</v>
      </c>
      <c r="M6" s="13">
        <v>0</v>
      </c>
      <c r="N6" s="12">
        <v>0</v>
      </c>
      <c r="O6" s="13">
        <v>0</v>
      </c>
      <c r="P6" s="12">
        <v>668.84864300000004</v>
      </c>
      <c r="Q6" s="13">
        <v>0.75368298499092823</v>
      </c>
      <c r="R6" s="12">
        <v>218.59164200000001</v>
      </c>
      <c r="S6" s="13">
        <v>0.24631701500907185</v>
      </c>
      <c r="T6" s="12">
        <v>0</v>
      </c>
      <c r="U6" s="13">
        <v>0</v>
      </c>
      <c r="V6" s="12">
        <v>887.44028500000002</v>
      </c>
      <c r="W6" s="12">
        <f>('3-Fiscal Support for HE'!C6/1000000)-V6</f>
        <v>1.0015630000000328</v>
      </c>
      <c r="X6" s="12">
        <v>888.44184800000005</v>
      </c>
      <c r="Y6" s="11"/>
      <c r="Z6" s="11"/>
      <c r="AA6" s="11"/>
      <c r="AB6" s="11"/>
      <c r="AC6" s="11"/>
      <c r="AD6" s="11"/>
      <c r="AE6" s="16">
        <v>10617423</v>
      </c>
      <c r="AF6" s="16">
        <v>1015188</v>
      </c>
      <c r="AG6" s="11"/>
      <c r="AH6" s="11"/>
      <c r="AI6" s="11"/>
      <c r="AJ6" s="11"/>
      <c r="AK6" s="11"/>
    </row>
    <row r="7" spans="1:37" ht="12.75" x14ac:dyDescent="0.2">
      <c r="A7" s="11" t="s">
        <v>16</v>
      </c>
      <c r="B7" s="12">
        <v>83.217768000000007</v>
      </c>
      <c r="C7" s="12">
        <v>33.585766</v>
      </c>
      <c r="D7" s="12">
        <v>139.93647200000001</v>
      </c>
      <c r="E7" s="12">
        <f t="shared" si="0"/>
        <v>256.74000599999999</v>
      </c>
      <c r="F7" s="12">
        <v>0</v>
      </c>
      <c r="G7" s="12">
        <v>0</v>
      </c>
      <c r="H7" s="12">
        <v>1.4168240000000001</v>
      </c>
      <c r="I7" s="12">
        <v>0</v>
      </c>
      <c r="J7" s="12">
        <v>0</v>
      </c>
      <c r="K7" s="12">
        <v>0</v>
      </c>
      <c r="L7" s="12">
        <v>83.217768000000007</v>
      </c>
      <c r="M7" s="13">
        <v>0.32357182861445288</v>
      </c>
      <c r="N7" s="12">
        <v>0</v>
      </c>
      <c r="O7" s="13">
        <v>0</v>
      </c>
      <c r="P7" s="12">
        <v>117.832852</v>
      </c>
      <c r="Q7" s="13">
        <v>0.45816407131342662</v>
      </c>
      <c r="R7" s="12">
        <v>49.536347999999997</v>
      </c>
      <c r="S7" s="13">
        <v>0.19260990880267173</v>
      </c>
      <c r="T7" s="12">
        <v>6.5978690000000002</v>
      </c>
      <c r="U7" s="13">
        <v>2.5654191269448751E-2</v>
      </c>
      <c r="V7" s="12">
        <v>257.18483700000002</v>
      </c>
      <c r="W7" s="12">
        <f>('3-Fiscal Support for HE'!C7/1000000)-V7</f>
        <v>0.97199299999999766</v>
      </c>
      <c r="X7" s="12">
        <v>258.15683000000001</v>
      </c>
      <c r="Y7" s="11"/>
      <c r="Z7" s="11"/>
      <c r="AA7" s="11"/>
      <c r="AB7" s="11"/>
      <c r="AC7" s="11"/>
      <c r="AD7" s="11"/>
      <c r="AE7" s="16">
        <v>4467673</v>
      </c>
      <c r="AF7" s="16">
        <v>413954</v>
      </c>
      <c r="AG7" s="11"/>
      <c r="AH7" s="11"/>
      <c r="AI7" s="11"/>
      <c r="AJ7" s="11"/>
      <c r="AK7" s="11"/>
    </row>
    <row r="8" spans="1:37" ht="12.75" x14ac:dyDescent="0.2">
      <c r="A8" s="11" t="s">
        <v>17</v>
      </c>
      <c r="B8" s="12">
        <v>28.413083</v>
      </c>
      <c r="C8" s="12">
        <v>0</v>
      </c>
      <c r="D8" s="12">
        <v>301.33469400000001</v>
      </c>
      <c r="E8" s="12">
        <f t="shared" si="0"/>
        <v>329.74777700000004</v>
      </c>
      <c r="F8" s="12">
        <v>0</v>
      </c>
      <c r="G8" s="12">
        <v>0.31680000000000003</v>
      </c>
      <c r="H8" s="12">
        <v>0</v>
      </c>
      <c r="I8" s="12">
        <v>0</v>
      </c>
      <c r="J8" s="12">
        <v>0</v>
      </c>
      <c r="K8" s="12">
        <v>0</v>
      </c>
      <c r="L8" s="12">
        <v>28.413083</v>
      </c>
      <c r="M8" s="13">
        <v>8.6166109316940132E-2</v>
      </c>
      <c r="N8" s="12">
        <v>0</v>
      </c>
      <c r="O8" s="13">
        <v>0</v>
      </c>
      <c r="P8" s="12">
        <v>300.72608700000001</v>
      </c>
      <c r="Q8" s="13">
        <v>0.91198821637545102</v>
      </c>
      <c r="R8" s="12">
        <v>0.58555000000000001</v>
      </c>
      <c r="S8" s="13">
        <v>1.7757511675355433E-3</v>
      </c>
      <c r="T8" s="12">
        <v>2.3057000000000001E-2</v>
      </c>
      <c r="U8" s="13">
        <v>6.9923140073208134E-5</v>
      </c>
      <c r="V8" s="12">
        <v>329.74777700000004</v>
      </c>
      <c r="W8" s="12">
        <f>('3-Fiscal Support for HE'!C8/1000000)-V8</f>
        <v>2.0617689999999698</v>
      </c>
      <c r="X8" s="12">
        <v>331.80954600000001</v>
      </c>
      <c r="Y8" s="11"/>
      <c r="Z8" s="11"/>
      <c r="AA8" s="11"/>
      <c r="AB8" s="11"/>
      <c r="AC8" s="11"/>
      <c r="AD8" s="11"/>
      <c r="AE8" s="16">
        <v>4648794</v>
      </c>
      <c r="AF8" s="16">
        <v>419043</v>
      </c>
      <c r="AG8" s="11"/>
      <c r="AH8" s="11"/>
      <c r="AI8" s="11"/>
      <c r="AJ8" s="11"/>
      <c r="AK8" s="11"/>
    </row>
    <row r="9" spans="1:37" ht="12.75" x14ac:dyDescent="0.2">
      <c r="A9" s="11" t="s">
        <v>19</v>
      </c>
      <c r="B9" s="12">
        <v>80.230421000000007</v>
      </c>
      <c r="C9" s="12">
        <v>17.721734999999999</v>
      </c>
      <c r="D9" s="12">
        <v>0.67325599999999997</v>
      </c>
      <c r="E9" s="12">
        <f t="shared" si="0"/>
        <v>98.625411999999997</v>
      </c>
      <c r="F9" s="12">
        <v>0</v>
      </c>
      <c r="G9" s="12">
        <v>2.043364</v>
      </c>
      <c r="H9" s="12">
        <v>6.4000000000000001E-2</v>
      </c>
      <c r="I9" s="12">
        <v>0</v>
      </c>
      <c r="J9" s="12">
        <v>0</v>
      </c>
      <c r="K9" s="12">
        <v>0</v>
      </c>
      <c r="L9" s="12">
        <v>85.655180999999999</v>
      </c>
      <c r="M9" s="13">
        <v>0.86792675388520912</v>
      </c>
      <c r="N9" s="12">
        <v>11.395201999999999</v>
      </c>
      <c r="O9" s="13">
        <v>0.11546529429114442</v>
      </c>
      <c r="P9" s="12">
        <v>0</v>
      </c>
      <c r="Q9" s="13">
        <v>0</v>
      </c>
      <c r="R9" s="12">
        <v>1.6390290000000001</v>
      </c>
      <c r="S9" s="13">
        <v>1.6607951823646494E-2</v>
      </c>
      <c r="T9" s="12">
        <v>0</v>
      </c>
      <c r="U9" s="13">
        <v>0</v>
      </c>
      <c r="V9" s="12">
        <v>98.68941199999999</v>
      </c>
      <c r="W9" s="12">
        <f>('3-Fiscal Support for HE'!C9/1000000)-V9</f>
        <v>9.5335380000000214</v>
      </c>
      <c r="X9" s="12">
        <v>108.22295000000001</v>
      </c>
      <c r="Y9" s="11"/>
      <c r="Z9" s="11"/>
      <c r="AA9" s="11"/>
      <c r="AB9" s="11"/>
      <c r="AC9" s="11"/>
      <c r="AD9" s="11"/>
      <c r="AE9" s="16">
        <v>6045680</v>
      </c>
      <c r="AF9" s="16">
        <v>526149</v>
      </c>
      <c r="AG9" s="11"/>
      <c r="AH9" s="11"/>
      <c r="AI9" s="11"/>
      <c r="AJ9" s="11"/>
      <c r="AK9" s="11"/>
    </row>
    <row r="10" spans="1:37" s="47" customFormat="1" ht="12.75" x14ac:dyDescent="0.2">
      <c r="A10" s="47" t="s">
        <v>23</v>
      </c>
      <c r="B10" s="45">
        <v>23.921182000000002</v>
      </c>
      <c r="C10" s="45">
        <v>0</v>
      </c>
      <c r="D10" s="45">
        <v>17.477772000000002</v>
      </c>
      <c r="E10" s="45">
        <f t="shared" si="0"/>
        <v>41.398954000000003</v>
      </c>
      <c r="F10" s="45">
        <v>0</v>
      </c>
      <c r="G10" s="45">
        <v>0</v>
      </c>
      <c r="H10" s="45">
        <v>0.76354100000000003</v>
      </c>
      <c r="I10" s="45">
        <v>0</v>
      </c>
      <c r="J10" s="45">
        <v>0</v>
      </c>
      <c r="K10" s="45">
        <v>0</v>
      </c>
      <c r="L10" s="45">
        <v>0</v>
      </c>
      <c r="M10" s="46">
        <v>0</v>
      </c>
      <c r="N10" s="45">
        <v>23.921182000000002</v>
      </c>
      <c r="O10" s="46">
        <v>0.57659089161566923</v>
      </c>
      <c r="P10" s="45">
        <v>17.359995999999999</v>
      </c>
      <c r="Q10" s="46">
        <v>0.41844151230003807</v>
      </c>
      <c r="R10" s="45">
        <v>0.206092</v>
      </c>
      <c r="S10" s="46">
        <v>4.9675960842928447E-3</v>
      </c>
      <c r="T10" s="45">
        <v>0</v>
      </c>
      <c r="U10" s="46">
        <v>0</v>
      </c>
      <c r="V10" s="45">
        <v>41.487269999999995</v>
      </c>
      <c r="W10" s="45">
        <f>('3-Fiscal Support for HE'!C10/1000000)-V10</f>
        <v>0.67522500000001173</v>
      </c>
      <c r="X10" s="45">
        <v>42.162495000000007</v>
      </c>
      <c r="AE10" s="48">
        <v>2976149</v>
      </c>
      <c r="AF10" s="48">
        <v>283421</v>
      </c>
    </row>
    <row r="11" spans="1:37" ht="12.75" x14ac:dyDescent="0.2">
      <c r="A11" s="11" t="s">
        <v>32</v>
      </c>
      <c r="B11" s="12">
        <v>228.81745000000001</v>
      </c>
      <c r="C11" s="12">
        <v>84.483084000000005</v>
      </c>
      <c r="D11" s="12">
        <v>7.9937709999999997</v>
      </c>
      <c r="E11" s="12">
        <f t="shared" si="0"/>
        <v>321.29430500000001</v>
      </c>
      <c r="F11" s="12">
        <v>0</v>
      </c>
      <c r="G11" s="12">
        <v>21.354939000000002</v>
      </c>
      <c r="H11" s="12">
        <v>0</v>
      </c>
      <c r="I11" s="12">
        <v>0</v>
      </c>
      <c r="J11" s="12">
        <v>48.267825999999999</v>
      </c>
      <c r="K11" s="12">
        <v>0</v>
      </c>
      <c r="L11" s="12">
        <v>296.87651399999999</v>
      </c>
      <c r="M11" s="13">
        <v>0.91927266248307227</v>
      </c>
      <c r="N11" s="12">
        <v>0</v>
      </c>
      <c r="O11" s="13">
        <v>0</v>
      </c>
      <c r="P11" s="12">
        <v>0</v>
      </c>
      <c r="Q11" s="13">
        <v>0</v>
      </c>
      <c r="R11" s="12">
        <v>26.070665999999999</v>
      </c>
      <c r="S11" s="13">
        <v>8.0727337516927691E-2</v>
      </c>
      <c r="T11" s="12">
        <v>0</v>
      </c>
      <c r="U11" s="13">
        <v>0</v>
      </c>
      <c r="V11" s="12">
        <v>322.94718</v>
      </c>
      <c r="W11" s="12">
        <f>('3-Fiscal Support for HE'!C11/1000000)-V11</f>
        <v>68.557890000000043</v>
      </c>
      <c r="X11" s="12">
        <v>391.50507000000005</v>
      </c>
      <c r="Y11" s="11"/>
      <c r="Z11" s="11"/>
      <c r="AA11" s="11"/>
      <c r="AB11" s="11"/>
      <c r="AC11" s="11"/>
      <c r="AD11" s="11"/>
      <c r="AE11" s="16">
        <v>10488084</v>
      </c>
      <c r="AF11" s="16">
        <v>990587</v>
      </c>
      <c r="AG11" s="11"/>
      <c r="AH11" s="11"/>
      <c r="AI11" s="11"/>
      <c r="AJ11" s="11"/>
      <c r="AK11" s="11"/>
    </row>
    <row r="12" spans="1:37" ht="12.75" x14ac:dyDescent="0.2">
      <c r="A12" s="11" t="s">
        <v>35</v>
      </c>
      <c r="B12" s="12">
        <v>17.066500999999999</v>
      </c>
      <c r="C12" s="12">
        <v>71.143376000000004</v>
      </c>
      <c r="D12" s="12">
        <v>6.6120900000000002</v>
      </c>
      <c r="E12" s="12">
        <f t="shared" si="0"/>
        <v>94.821967000000001</v>
      </c>
      <c r="F12" s="12">
        <v>0</v>
      </c>
      <c r="G12" s="12">
        <v>0</v>
      </c>
      <c r="H12" s="12">
        <v>0</v>
      </c>
      <c r="I12" s="12">
        <v>0</v>
      </c>
      <c r="J12" s="12">
        <v>13.940091000000001</v>
      </c>
      <c r="K12" s="12">
        <v>0</v>
      </c>
      <c r="L12" s="12">
        <v>17.118601000000002</v>
      </c>
      <c r="M12" s="13">
        <v>0.15739497132354743</v>
      </c>
      <c r="N12" s="12">
        <v>0</v>
      </c>
      <c r="O12" s="13">
        <v>0</v>
      </c>
      <c r="P12" s="12">
        <v>5.8831749999999996</v>
      </c>
      <c r="Q12" s="13">
        <v>5.4092163279955585E-2</v>
      </c>
      <c r="R12" s="12">
        <v>85.760282000000004</v>
      </c>
      <c r="S12" s="13">
        <v>0.78851286539649701</v>
      </c>
      <c r="T12" s="12">
        <v>0</v>
      </c>
      <c r="U12" s="13">
        <v>0</v>
      </c>
      <c r="V12" s="12">
        <v>108.762058</v>
      </c>
      <c r="W12" s="12">
        <f>('3-Fiscal Support for HE'!C12/1000000)-V12</f>
        <v>2.3690999999999462E-2</v>
      </c>
      <c r="X12" s="12">
        <v>108.785749</v>
      </c>
      <c r="Y12" s="11"/>
      <c r="Z12" s="11"/>
      <c r="AA12" s="11"/>
      <c r="AB12" s="11"/>
      <c r="AC12" s="11"/>
      <c r="AD12" s="11"/>
      <c r="AE12" s="16">
        <v>3956971</v>
      </c>
      <c r="AF12" s="16">
        <v>380905</v>
      </c>
      <c r="AG12" s="11"/>
      <c r="AH12" s="11"/>
      <c r="AI12" s="11"/>
      <c r="AJ12" s="11"/>
      <c r="AK12" s="11"/>
    </row>
    <row r="13" spans="1:37" ht="12.75" x14ac:dyDescent="0.2">
      <c r="A13" s="11" t="s">
        <v>112</v>
      </c>
      <c r="B13" s="12">
        <f>31.091496+40.528625</f>
        <v>71.620120999999997</v>
      </c>
      <c r="C13" s="12">
        <v>0</v>
      </c>
      <c r="D13" s="12">
        <v>343.96420000000001</v>
      </c>
      <c r="E13" s="12">
        <f t="shared" si="0"/>
        <v>415.58432099999999</v>
      </c>
      <c r="F13" s="12">
        <v>0</v>
      </c>
      <c r="G13" s="12">
        <v>0</v>
      </c>
      <c r="H13" s="12">
        <v>2.1716639999999998</v>
      </c>
      <c r="I13" s="12">
        <v>0</v>
      </c>
      <c r="J13" s="12">
        <v>0</v>
      </c>
      <c r="K13" s="12">
        <v>0</v>
      </c>
      <c r="L13" s="12">
        <v>31.091495999999999</v>
      </c>
      <c r="M13" s="20">
        <f>L13/V13</f>
        <v>7.4813929277182722E-2</v>
      </c>
      <c r="N13" s="21">
        <v>40.528624999999998</v>
      </c>
      <c r="O13" s="20">
        <f>N13/V13</f>
        <v>9.7522026101653628E-2</v>
      </c>
      <c r="P13" s="21">
        <v>297.74526600000002</v>
      </c>
      <c r="Q13" s="20">
        <f>P13/V13</f>
        <v>0.71644970937197605</v>
      </c>
      <c r="R13" s="12">
        <v>0</v>
      </c>
      <c r="S13" s="13">
        <v>0</v>
      </c>
      <c r="T13" s="12">
        <v>46.218933999999997</v>
      </c>
      <c r="U13" s="13">
        <f>T13/V13</f>
        <v>0.11121433524918761</v>
      </c>
      <c r="V13" s="12">
        <f>375.055696+40.528625</f>
        <v>415.58432099999999</v>
      </c>
      <c r="W13" s="12">
        <f>('3-Fiscal Support for HE'!C13/1000000)-V13</f>
        <v>5.67586399999999</v>
      </c>
      <c r="X13" s="12">
        <f>380.73156+40.528625</f>
        <v>421.26018499999998</v>
      </c>
      <c r="Y13" s="11"/>
      <c r="Z13" s="11"/>
      <c r="AA13" s="11"/>
      <c r="AB13" s="11"/>
      <c r="AC13" s="11"/>
      <c r="AD13" s="11"/>
      <c r="AE13" s="16">
        <v>5148714</v>
      </c>
      <c r="AF13" s="16">
        <v>467399</v>
      </c>
      <c r="AG13" s="11"/>
      <c r="AH13" s="11"/>
      <c r="AI13" s="11"/>
      <c r="AJ13" s="11"/>
      <c r="AK13" s="11"/>
    </row>
    <row r="14" spans="1:37" ht="12.75" x14ac:dyDescent="0.2">
      <c r="A14" s="11" t="s">
        <v>41</v>
      </c>
      <c r="B14" s="12">
        <v>73.059460999999999</v>
      </c>
      <c r="C14" s="12">
        <v>36.964058000000001</v>
      </c>
      <c r="D14" s="12">
        <v>314.48000999999999</v>
      </c>
      <c r="E14" s="12">
        <f t="shared" si="0"/>
        <v>424.50352899999996</v>
      </c>
      <c r="F14" s="12">
        <v>0</v>
      </c>
      <c r="G14" s="12">
        <v>0.97314000000000001</v>
      </c>
      <c r="H14" s="12">
        <v>28.836006999999999</v>
      </c>
      <c r="I14" s="12">
        <v>0</v>
      </c>
      <c r="J14" s="12">
        <v>0</v>
      </c>
      <c r="K14" s="12">
        <v>0</v>
      </c>
      <c r="L14" s="12">
        <v>73.059460999999999</v>
      </c>
      <c r="M14" s="13">
        <v>0.16090350269357998</v>
      </c>
      <c r="N14" s="12">
        <v>23.724335</v>
      </c>
      <c r="O14" s="13">
        <v>5.2249613511053596E-2</v>
      </c>
      <c r="P14" s="12">
        <v>274.13599299999998</v>
      </c>
      <c r="Q14" s="13">
        <v>0.60374715176290061</v>
      </c>
      <c r="R14" s="12">
        <v>83.137827999999999</v>
      </c>
      <c r="S14" s="13">
        <v>0.18309973203246582</v>
      </c>
      <c r="T14" s="12">
        <v>0</v>
      </c>
      <c r="U14" s="13">
        <v>0</v>
      </c>
      <c r="V14" s="12">
        <v>454.05761699999999</v>
      </c>
      <c r="W14" s="12">
        <f>('3-Fiscal Support for HE'!C14/1000000)-V14</f>
        <v>0.25505899999996018</v>
      </c>
      <c r="X14" s="12">
        <v>454.31267599999995</v>
      </c>
      <c r="Y14" s="11"/>
      <c r="Z14" s="11"/>
      <c r="AA14" s="11"/>
      <c r="AB14" s="11"/>
      <c r="AC14" s="11"/>
      <c r="AD14" s="11"/>
      <c r="AE14" s="16">
        <v>6829174</v>
      </c>
      <c r="AF14" s="16">
        <v>612440</v>
      </c>
      <c r="AG14" s="11"/>
      <c r="AH14" s="11"/>
      <c r="AI14" s="11"/>
      <c r="AJ14" s="11"/>
      <c r="AK14" s="11"/>
    </row>
    <row r="15" spans="1:37" ht="12.75" x14ac:dyDescent="0.2">
      <c r="A15" s="11" t="s">
        <v>42</v>
      </c>
      <c r="B15" s="12">
        <v>402.50421799999998</v>
      </c>
      <c r="C15" s="12">
        <v>535.91222600000003</v>
      </c>
      <c r="D15" s="12">
        <v>0</v>
      </c>
      <c r="E15" s="12">
        <f t="shared" si="0"/>
        <v>938.41644399999996</v>
      </c>
      <c r="F15" s="12">
        <v>154.76556600000001</v>
      </c>
      <c r="G15" s="12">
        <v>16.406179000000002</v>
      </c>
      <c r="H15" s="12">
        <v>0.98973</v>
      </c>
      <c r="I15" s="12">
        <v>8.5161890000000007</v>
      </c>
      <c r="J15" s="12">
        <v>0.28548699999999999</v>
      </c>
      <c r="K15" s="12">
        <v>0</v>
      </c>
      <c r="L15" s="12">
        <v>462.96524899999997</v>
      </c>
      <c r="M15" s="13">
        <v>0.4267721119710704</v>
      </c>
      <c r="N15" s="12">
        <v>402.50421799999998</v>
      </c>
      <c r="O15" s="13">
        <v>0.37103773029220199</v>
      </c>
      <c r="P15" s="12">
        <v>0</v>
      </c>
      <c r="Q15" s="13">
        <v>0</v>
      </c>
      <c r="R15" s="12">
        <v>83.727230000000006</v>
      </c>
      <c r="S15" s="13">
        <v>7.7181703926524237E-2</v>
      </c>
      <c r="T15" s="12">
        <v>135.61000899999999</v>
      </c>
      <c r="U15" s="13">
        <v>0.12500845381020351</v>
      </c>
      <c r="V15" s="12">
        <v>1084.8067059999998</v>
      </c>
      <c r="W15" s="12">
        <f>('3-Fiscal Support for HE'!C15/1000000)-V15</f>
        <v>117.80639500000029</v>
      </c>
      <c r="X15" s="12">
        <v>1202.6131010000001</v>
      </c>
      <c r="Y15" s="11"/>
      <c r="Z15" s="11"/>
      <c r="AA15" s="11"/>
      <c r="AB15" s="11"/>
      <c r="AC15" s="11"/>
      <c r="AD15" s="11"/>
      <c r="AE15" s="16">
        <v>28995881</v>
      </c>
      <c r="AF15" s="16">
        <v>2813300</v>
      </c>
      <c r="AG15" s="11"/>
      <c r="AH15" s="11"/>
      <c r="AI15" s="11"/>
      <c r="AJ15" s="11"/>
      <c r="AK15" s="11"/>
    </row>
    <row r="16" spans="1:37" ht="12.75" x14ac:dyDescent="0.2">
      <c r="A16" s="11" t="s">
        <v>45</v>
      </c>
      <c r="B16" s="12">
        <v>198.160752</v>
      </c>
      <c r="C16" s="12">
        <v>216.15995599999999</v>
      </c>
      <c r="D16" s="12">
        <v>67.876442999999995</v>
      </c>
      <c r="E16" s="12">
        <f t="shared" si="0"/>
        <v>482.19715099999996</v>
      </c>
      <c r="F16" s="12">
        <v>0</v>
      </c>
      <c r="G16" s="12">
        <v>0</v>
      </c>
      <c r="H16" s="12">
        <v>4.6372309999999999</v>
      </c>
      <c r="I16" s="12">
        <v>0</v>
      </c>
      <c r="J16" s="12">
        <v>253.76226</v>
      </c>
      <c r="K16" s="12">
        <v>0.17</v>
      </c>
      <c r="L16" s="12">
        <v>360.07471399999997</v>
      </c>
      <c r="M16" s="13">
        <v>0.58151787330417115</v>
      </c>
      <c r="N16" s="12">
        <v>95.611605999999995</v>
      </c>
      <c r="O16" s="13">
        <v>0.15441200290536461</v>
      </c>
      <c r="P16" s="12">
        <v>0</v>
      </c>
      <c r="Q16" s="13">
        <v>0</v>
      </c>
      <c r="R16" s="12">
        <v>82.752903000000003</v>
      </c>
      <c r="S16" s="13">
        <v>0.1336452971877008</v>
      </c>
      <c r="T16" s="12">
        <v>80.758793999999995</v>
      </c>
      <c r="U16" s="13">
        <v>0.1304248266027635</v>
      </c>
      <c r="V16" s="12">
        <v>619.19801699999994</v>
      </c>
      <c r="W16" s="12">
        <f>('3-Fiscal Support for HE'!C16/1000000)-V16</f>
        <v>224.81826000000001</v>
      </c>
      <c r="X16" s="12">
        <v>844.01627699999995</v>
      </c>
      <c r="Y16" s="11"/>
      <c r="Z16" s="11"/>
      <c r="AA16" s="11"/>
      <c r="AB16" s="11"/>
      <c r="AC16" s="11"/>
      <c r="AD16" s="11"/>
      <c r="AE16" s="16">
        <v>8535519</v>
      </c>
      <c r="AF16" s="16">
        <v>798197</v>
      </c>
      <c r="AG16" s="11"/>
      <c r="AH16" s="11"/>
      <c r="AI16" s="11"/>
      <c r="AJ16" s="11"/>
      <c r="AK16" s="11"/>
    </row>
    <row r="17" spans="1:37" ht="12.75" x14ac:dyDescent="0.2">
      <c r="A17" s="11" t="s">
        <v>48</v>
      </c>
      <c r="B17" s="12">
        <v>37.655757000000001</v>
      </c>
      <c r="C17" s="12">
        <v>3.759817</v>
      </c>
      <c r="D17" s="12">
        <v>47.454200999999998</v>
      </c>
      <c r="E17" s="12">
        <f t="shared" si="0"/>
        <v>88.869775000000004</v>
      </c>
      <c r="F17" s="12">
        <v>0</v>
      </c>
      <c r="G17" s="12">
        <v>1.732612</v>
      </c>
      <c r="H17" s="12">
        <v>0.92864999999999998</v>
      </c>
      <c r="I17" s="12">
        <v>0</v>
      </c>
      <c r="J17" s="12">
        <v>31.651140999999999</v>
      </c>
      <c r="K17" s="12">
        <v>0</v>
      </c>
      <c r="L17" s="12">
        <v>0</v>
      </c>
      <c r="M17" s="13">
        <v>0</v>
      </c>
      <c r="N17" s="12">
        <v>37.655757000000001</v>
      </c>
      <c r="O17" s="13">
        <v>0.31459882037881315</v>
      </c>
      <c r="P17" s="12">
        <v>47.454200999999998</v>
      </c>
      <c r="Q17" s="13">
        <v>0.39646090919428584</v>
      </c>
      <c r="R17" s="12">
        <v>34.584569000000002</v>
      </c>
      <c r="S17" s="13">
        <v>0.28894027042690096</v>
      </c>
      <c r="T17" s="12">
        <v>0</v>
      </c>
      <c r="U17" s="13">
        <v>0</v>
      </c>
      <c r="V17" s="12">
        <v>119.69452700000001</v>
      </c>
      <c r="W17" s="12">
        <f>('3-Fiscal Support for HE'!C17/1000000)-V17</f>
        <v>3.8026509999999973</v>
      </c>
      <c r="X17" s="12">
        <v>123.49717800000001</v>
      </c>
      <c r="Y17" s="11"/>
      <c r="Z17" s="11"/>
      <c r="AA17" s="11"/>
      <c r="AB17" s="11"/>
      <c r="AC17" s="11"/>
      <c r="AD17" s="11"/>
      <c r="AE17" s="16">
        <v>1792147</v>
      </c>
      <c r="AF17" s="16">
        <v>153786</v>
      </c>
      <c r="AG17" s="11"/>
      <c r="AH17" s="11"/>
      <c r="AI17" s="11"/>
      <c r="AJ17" s="11"/>
      <c r="AK17" s="11"/>
    </row>
    <row r="18" spans="1:37" ht="12.75" x14ac:dyDescent="0.2">
      <c r="A18" s="42" t="s">
        <v>187</v>
      </c>
      <c r="B18" s="41">
        <f>SUM(B2:B17)</f>
        <v>1519.934072</v>
      </c>
      <c r="C18" s="41">
        <f t="shared" ref="C18:X18" si="1">SUM(C2:C17)</f>
        <v>1097.0593460000002</v>
      </c>
      <c r="D18" s="41">
        <f t="shared" si="1"/>
        <v>2789.6064620000002</v>
      </c>
      <c r="E18" s="41">
        <f t="shared" si="0"/>
        <v>5406.5998799999998</v>
      </c>
      <c r="F18" s="41">
        <f t="shared" si="1"/>
        <v>183.53389300000001</v>
      </c>
      <c r="G18" s="41">
        <f t="shared" si="1"/>
        <v>42.892026000000008</v>
      </c>
      <c r="H18" s="41">
        <f t="shared" si="1"/>
        <v>43.897746999999995</v>
      </c>
      <c r="I18" s="41">
        <f t="shared" si="1"/>
        <v>9.9125200000000007</v>
      </c>
      <c r="J18" s="41">
        <f t="shared" si="1"/>
        <v>349.65967699999999</v>
      </c>
      <c r="K18" s="41">
        <f t="shared" si="1"/>
        <v>143.68848800000001</v>
      </c>
      <c r="L18" s="41">
        <f t="shared" si="1"/>
        <v>1721.6661949999998</v>
      </c>
      <c r="M18" s="95">
        <f>L18/V18</f>
        <v>0.28960377465866211</v>
      </c>
      <c r="N18" s="41">
        <f t="shared" si="1"/>
        <v>640.37450199999989</v>
      </c>
      <c r="O18" s="50"/>
      <c r="P18" s="41">
        <f t="shared" si="1"/>
        <v>2384.3815209999998</v>
      </c>
      <c r="Q18" s="50">
        <f>P18/V18</f>
        <v>0.40108000651541048</v>
      </c>
      <c r="R18" s="41">
        <f t="shared" si="1"/>
        <v>929.17658799999992</v>
      </c>
      <c r="S18" s="50"/>
      <c r="T18" s="41">
        <f t="shared" si="1"/>
        <v>269.30366300000003</v>
      </c>
      <c r="U18" s="50"/>
      <c r="V18" s="41">
        <f t="shared" si="1"/>
        <v>5944.9024689999997</v>
      </c>
      <c r="W18" s="41">
        <f t="shared" si="1"/>
        <v>459.73969000000045</v>
      </c>
      <c r="X18" s="41">
        <f t="shared" si="1"/>
        <v>6404.6421589999991</v>
      </c>
      <c r="Y18" s="11"/>
      <c r="Z18" s="11"/>
      <c r="AA18" s="11"/>
      <c r="AB18" s="11"/>
      <c r="AC18" s="11"/>
      <c r="AD18" s="11"/>
      <c r="AE18" s="16"/>
      <c r="AF18" s="16"/>
      <c r="AG18" s="11"/>
      <c r="AH18" s="11"/>
      <c r="AI18" s="11"/>
      <c r="AJ18" s="11"/>
      <c r="AK18" s="11"/>
    </row>
    <row r="19" spans="1:37" ht="12.75" x14ac:dyDescent="0.2">
      <c r="C19" s="12">
        <f>B18+C18</f>
        <v>2616.993418</v>
      </c>
      <c r="K19" s="12">
        <f>SUM(F18:K18)</f>
        <v>773.58435099999997</v>
      </c>
      <c r="M19" s="12"/>
      <c r="O19" s="13"/>
      <c r="Q19" s="13"/>
      <c r="S19" s="13"/>
      <c r="U19" s="13"/>
      <c r="Y19" s="11"/>
      <c r="Z19" s="11"/>
      <c r="AA19" s="11"/>
      <c r="AB19" s="11"/>
      <c r="AC19" s="11"/>
      <c r="AD19" s="11"/>
      <c r="AE19" s="16"/>
      <c r="AF19" s="16"/>
      <c r="AG19" s="11"/>
      <c r="AH19" s="11"/>
      <c r="AI19" s="11"/>
      <c r="AJ19" s="11"/>
      <c r="AK19" s="11"/>
    </row>
    <row r="20" spans="1:37" ht="12.75" x14ac:dyDescent="0.2">
      <c r="A20" s="24">
        <f>B10/E10</f>
        <v>0.57782092755290382</v>
      </c>
      <c r="B20" s="24">
        <f>D10/E10</f>
        <v>0.42217907244709613</v>
      </c>
      <c r="C20" s="24">
        <f>(SUM(B18+C18))/E18</f>
        <v>0.48403682093819012</v>
      </c>
      <c r="D20" s="24">
        <f>D18/E18</f>
        <v>0.51596317906181</v>
      </c>
      <c r="E20" s="25">
        <f>E18/X18</f>
        <v>0.844168924004986</v>
      </c>
      <c r="F20" s="25">
        <f>E10/X10</f>
        <v>0.98189051667838911</v>
      </c>
      <c r="M20" s="13"/>
      <c r="O20" s="13"/>
      <c r="Q20" s="13"/>
      <c r="S20" s="13"/>
      <c r="U20" s="13"/>
      <c r="Y20" s="11"/>
      <c r="Z20" s="11"/>
      <c r="AA20" s="11"/>
      <c r="AB20" s="11"/>
      <c r="AC20" s="11"/>
      <c r="AD20" s="11"/>
      <c r="AE20" s="16"/>
      <c r="AF20" s="16"/>
      <c r="AG20" s="11"/>
      <c r="AH20" s="11"/>
      <c r="AI20" s="11"/>
      <c r="AJ20" s="11"/>
      <c r="AK20" s="11"/>
    </row>
    <row r="21" spans="1:37" ht="12.75" x14ac:dyDescent="0.2">
      <c r="A21" s="11" t="s">
        <v>1</v>
      </c>
      <c r="B21" s="12">
        <v>5.8504019999999999</v>
      </c>
      <c r="C21" s="12">
        <v>0</v>
      </c>
      <c r="D21" s="12">
        <v>10.086522</v>
      </c>
      <c r="E21" s="12">
        <f t="shared" si="0"/>
        <v>15.936924000000001</v>
      </c>
      <c r="F21" s="12">
        <v>9.8403519999999993</v>
      </c>
      <c r="G21" s="12">
        <v>0.109947</v>
      </c>
      <c r="H21" s="12">
        <v>1.3168599999999999</v>
      </c>
      <c r="I21" s="12">
        <v>0</v>
      </c>
      <c r="J21" s="12">
        <v>0</v>
      </c>
      <c r="K21" s="12">
        <v>0</v>
      </c>
      <c r="L21" s="12">
        <v>5.8504019999999999</v>
      </c>
      <c r="M21" s="13">
        <v>0.2368289639165467</v>
      </c>
      <c r="N21" s="12">
        <v>0</v>
      </c>
      <c r="O21" s="13">
        <v>0</v>
      </c>
      <c r="P21" s="12">
        <v>10.086522</v>
      </c>
      <c r="Q21" s="13">
        <v>0.40831049811302789</v>
      </c>
      <c r="R21" s="12">
        <v>0.81417499999999998</v>
      </c>
      <c r="S21" s="13">
        <v>3.2958456820019279E-2</v>
      </c>
      <c r="T21" s="12">
        <v>7.9519690000000001</v>
      </c>
      <c r="U21" s="13">
        <v>0.32190208115040608</v>
      </c>
      <c r="V21" s="12">
        <v>24.703068000000002</v>
      </c>
      <c r="W21" s="12">
        <f>('3-Fiscal Support for HE'!C21/1000000)-V21</f>
        <v>2.5711559999999984</v>
      </c>
      <c r="X21" s="12">
        <v>27.274224</v>
      </c>
      <c r="Y21" s="11"/>
      <c r="Z21" s="11"/>
      <c r="AA21" s="11"/>
      <c r="AB21" s="11"/>
      <c r="AC21" s="11"/>
      <c r="AD21" s="11"/>
      <c r="AE21" s="16">
        <v>731545</v>
      </c>
      <c r="AF21" s="16">
        <v>68152</v>
      </c>
      <c r="AG21" s="11"/>
      <c r="AH21" s="11"/>
      <c r="AI21" s="11"/>
      <c r="AJ21" s="11"/>
      <c r="AK21" s="11"/>
    </row>
    <row r="22" spans="1:37" ht="12.75" x14ac:dyDescent="0.2">
      <c r="A22" s="11" t="s">
        <v>2</v>
      </c>
      <c r="B22" s="12">
        <v>2.3150710000000001</v>
      </c>
      <c r="C22" s="12">
        <v>25.911971999999999</v>
      </c>
      <c r="D22" s="12">
        <v>0</v>
      </c>
      <c r="E22" s="12">
        <f t="shared" si="0"/>
        <v>28.227042999999998</v>
      </c>
      <c r="F22" s="12">
        <v>0</v>
      </c>
      <c r="G22" s="12">
        <v>0.41162500000000002</v>
      </c>
      <c r="H22" s="12">
        <v>0</v>
      </c>
      <c r="I22" s="12">
        <v>0</v>
      </c>
      <c r="J22" s="12">
        <v>0</v>
      </c>
      <c r="K22" s="12">
        <v>0</v>
      </c>
      <c r="L22" s="12">
        <v>28.227042999999998</v>
      </c>
      <c r="M22" s="13">
        <v>0.98562695024782576</v>
      </c>
      <c r="N22" s="12">
        <v>0</v>
      </c>
      <c r="O22" s="13">
        <v>0</v>
      </c>
      <c r="P22" s="12">
        <v>0</v>
      </c>
      <c r="Q22" s="13">
        <v>0</v>
      </c>
      <c r="R22" s="12">
        <v>0.41162500000000002</v>
      </c>
      <c r="S22" s="13">
        <v>1.437304975217423E-2</v>
      </c>
      <c r="T22" s="12">
        <v>0</v>
      </c>
      <c r="U22" s="13">
        <v>0</v>
      </c>
      <c r="V22" s="12">
        <v>28.638667999999999</v>
      </c>
      <c r="W22" s="12">
        <f>('3-Fiscal Support for HE'!C22/1000000)-V22</f>
        <v>0</v>
      </c>
      <c r="X22" s="12">
        <v>28.638667999999999</v>
      </c>
      <c r="Y22" s="11"/>
      <c r="Z22" s="11"/>
      <c r="AA22" s="11"/>
      <c r="AB22" s="11"/>
      <c r="AC22" s="11"/>
      <c r="AD22" s="11"/>
      <c r="AE22" s="16">
        <v>7278717</v>
      </c>
      <c r="AF22" s="16">
        <v>693844</v>
      </c>
      <c r="AG22" s="11"/>
      <c r="AH22" s="11"/>
      <c r="AI22" s="11"/>
      <c r="AJ22" s="11"/>
      <c r="AK22" s="11"/>
    </row>
    <row r="23" spans="1:37" ht="12.75" x14ac:dyDescent="0.2">
      <c r="A23" s="11" t="s">
        <v>4</v>
      </c>
      <c r="B23" s="12">
        <v>2122.4913660000002</v>
      </c>
      <c r="C23" s="12">
        <v>104.476778</v>
      </c>
      <c r="D23" s="12">
        <v>1.134279</v>
      </c>
      <c r="E23" s="12">
        <f t="shared" si="0"/>
        <v>2228.1024230000003</v>
      </c>
      <c r="F23" s="12">
        <v>0</v>
      </c>
      <c r="G23" s="12">
        <v>2.335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3">
        <v>0</v>
      </c>
      <c r="N23" s="12">
        <v>2112.090346</v>
      </c>
      <c r="O23" s="13">
        <v>0.94698242706211366</v>
      </c>
      <c r="P23" s="12">
        <v>0</v>
      </c>
      <c r="Q23" s="13">
        <v>0</v>
      </c>
      <c r="R23" s="12">
        <v>118.247077</v>
      </c>
      <c r="S23" s="13">
        <v>5.3017572937886365E-2</v>
      </c>
      <c r="T23" s="12">
        <v>0</v>
      </c>
      <c r="U23" s="13">
        <v>0</v>
      </c>
      <c r="V23" s="12">
        <v>2230.3374229999999</v>
      </c>
      <c r="W23" s="12">
        <f>('3-Fiscal Support for HE'!C23/1000000)-V23</f>
        <v>1.388140000000476</v>
      </c>
      <c r="X23" s="12">
        <v>2231.7255630000004</v>
      </c>
      <c r="Y23" s="11"/>
      <c r="Z23" s="11"/>
      <c r="AA23" s="11"/>
      <c r="AB23" s="11"/>
      <c r="AC23" s="11"/>
      <c r="AD23" s="11"/>
      <c r="AE23" s="16">
        <v>39512223</v>
      </c>
      <c r="AF23" s="16">
        <v>3678035</v>
      </c>
      <c r="AG23" s="11"/>
      <c r="AH23" s="11"/>
      <c r="AI23" s="11"/>
      <c r="AJ23" s="11"/>
      <c r="AK23" s="11"/>
    </row>
    <row r="24" spans="1:37" ht="12.75" x14ac:dyDescent="0.2">
      <c r="A24" s="11" t="s">
        <v>5</v>
      </c>
      <c r="B24" s="12">
        <v>132.36013299999999</v>
      </c>
      <c r="C24" s="12">
        <v>0.38758199999999998</v>
      </c>
      <c r="D24" s="12">
        <v>6.1785329999999998</v>
      </c>
      <c r="E24" s="12">
        <f t="shared" si="0"/>
        <v>138.92624799999999</v>
      </c>
      <c r="F24" s="12">
        <v>0</v>
      </c>
      <c r="G24" s="12">
        <v>0</v>
      </c>
      <c r="H24" s="12">
        <v>0</v>
      </c>
      <c r="I24" s="12">
        <v>19.994001999999998</v>
      </c>
      <c r="J24" s="12">
        <v>17.024858999999999</v>
      </c>
      <c r="K24" s="12">
        <v>0</v>
      </c>
      <c r="L24" s="12">
        <v>152.35413500000001</v>
      </c>
      <c r="M24" s="13">
        <v>0.86591855758832159</v>
      </c>
      <c r="N24" s="12">
        <v>0</v>
      </c>
      <c r="O24" s="13">
        <v>0</v>
      </c>
      <c r="P24" s="12">
        <v>5.3045660000000003</v>
      </c>
      <c r="Q24" s="13">
        <v>3.0148982430651144E-2</v>
      </c>
      <c r="R24" s="12">
        <v>18.286408000000002</v>
      </c>
      <c r="S24" s="13">
        <v>0.10393245998102739</v>
      </c>
      <c r="T24" s="12">
        <v>0</v>
      </c>
      <c r="U24" s="13">
        <v>0</v>
      </c>
      <c r="V24" s="12">
        <v>175.945109</v>
      </c>
      <c r="W24" s="12">
        <f>('3-Fiscal Support for HE'!C24/1000000)-V24</f>
        <v>9.8253029999999626</v>
      </c>
      <c r="X24" s="12">
        <v>185.77041199999996</v>
      </c>
      <c r="Y24" s="11"/>
      <c r="Z24" s="11"/>
      <c r="AA24" s="11"/>
      <c r="AB24" s="11"/>
      <c r="AC24" s="11"/>
      <c r="AD24" s="11"/>
      <c r="AE24" s="16">
        <v>5758736</v>
      </c>
      <c r="AF24" s="16">
        <v>526217</v>
      </c>
      <c r="AG24" s="11"/>
      <c r="AH24" s="11"/>
      <c r="AI24" s="11"/>
      <c r="AJ24" s="11"/>
      <c r="AK24" s="11"/>
    </row>
    <row r="25" spans="1:37" ht="12.75" x14ac:dyDescent="0.2">
      <c r="A25" s="11" t="s">
        <v>6</v>
      </c>
      <c r="B25" s="12">
        <v>24.119136000000001</v>
      </c>
      <c r="C25" s="12">
        <v>9.5084579999999992</v>
      </c>
      <c r="D25" s="12">
        <v>0.185</v>
      </c>
      <c r="E25" s="12">
        <f t="shared" si="0"/>
        <v>33.812594000000004</v>
      </c>
      <c r="F25" s="12">
        <v>0</v>
      </c>
      <c r="G25" s="12">
        <v>0</v>
      </c>
      <c r="H25" s="12">
        <v>0</v>
      </c>
      <c r="I25" s="12">
        <v>0</v>
      </c>
      <c r="J25" s="12">
        <v>114.86559200000001</v>
      </c>
      <c r="K25" s="12">
        <v>0</v>
      </c>
      <c r="L25" s="12">
        <v>138.98472799999999</v>
      </c>
      <c r="M25" s="13">
        <v>0.93480241950221266</v>
      </c>
      <c r="N25" s="12">
        <v>9.5084579999999992</v>
      </c>
      <c r="O25" s="13">
        <v>6.395328229253483E-2</v>
      </c>
      <c r="P25" s="12">
        <v>0</v>
      </c>
      <c r="Q25" s="13">
        <v>0</v>
      </c>
      <c r="R25" s="12">
        <v>0.185</v>
      </c>
      <c r="S25" s="13">
        <v>1.2442982052525179E-3</v>
      </c>
      <c r="T25" s="12">
        <v>0</v>
      </c>
      <c r="U25" s="13">
        <v>0</v>
      </c>
      <c r="V25" s="12">
        <v>148.67818599999998</v>
      </c>
      <c r="W25" s="12">
        <f>('3-Fiscal Support for HE'!C25/1000000)-V25</f>
        <v>0</v>
      </c>
      <c r="X25" s="12">
        <v>148.67818600000001</v>
      </c>
      <c r="Y25" s="11"/>
      <c r="Z25" s="11"/>
      <c r="AA25" s="11"/>
      <c r="AB25" s="11"/>
      <c r="AC25" s="11"/>
      <c r="AD25" s="11"/>
      <c r="AE25" s="16">
        <v>3565287</v>
      </c>
      <c r="AF25" s="16">
        <v>342073</v>
      </c>
      <c r="AG25" s="11"/>
      <c r="AH25" s="11"/>
      <c r="AI25" s="11"/>
      <c r="AJ25" s="11"/>
      <c r="AK25" s="11"/>
    </row>
    <row r="26" spans="1:37" ht="12.75" x14ac:dyDescent="0.2">
      <c r="A26" s="11" t="s">
        <v>10</v>
      </c>
      <c r="B26" s="12">
        <v>1.640463</v>
      </c>
      <c r="C26" s="12">
        <v>2.9950000000000001</v>
      </c>
      <c r="D26" s="12">
        <v>0</v>
      </c>
      <c r="E26" s="12">
        <f t="shared" si="0"/>
        <v>4.6354629999999997</v>
      </c>
      <c r="F26" s="12">
        <v>1.0125379999999999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2.6530010000000002</v>
      </c>
      <c r="M26" s="13">
        <v>0.46972388992140757</v>
      </c>
      <c r="N26" s="12">
        <v>2.9950000000000001</v>
      </c>
      <c r="O26" s="13">
        <v>0.53027611007859232</v>
      </c>
      <c r="P26" s="12">
        <v>0</v>
      </c>
      <c r="Q26" s="13">
        <v>0</v>
      </c>
      <c r="R26" s="12">
        <v>0</v>
      </c>
      <c r="S26" s="13">
        <v>0</v>
      </c>
      <c r="T26" s="12">
        <v>0</v>
      </c>
      <c r="U26" s="13">
        <v>0</v>
      </c>
      <c r="V26" s="12">
        <v>5.6480010000000007</v>
      </c>
      <c r="W26" s="12">
        <f>('3-Fiscal Support for HE'!C26/1000000)-V26</f>
        <v>0</v>
      </c>
      <c r="X26" s="12">
        <v>5.6480009999999998</v>
      </c>
      <c r="Y26" s="11"/>
      <c r="Z26" s="11"/>
      <c r="AA26" s="11"/>
      <c r="AB26" s="11"/>
      <c r="AC26" s="11"/>
      <c r="AD26" s="11"/>
      <c r="AE26" s="16">
        <v>1415872</v>
      </c>
      <c r="AF26" s="16">
        <v>118874</v>
      </c>
      <c r="AG26" s="11"/>
      <c r="AH26" s="11"/>
      <c r="AI26" s="11"/>
      <c r="AJ26" s="11"/>
      <c r="AK26" s="11"/>
    </row>
    <row r="27" spans="1:37" ht="12.75" x14ac:dyDescent="0.2">
      <c r="A27" s="11" t="s">
        <v>11</v>
      </c>
      <c r="B27" s="12">
        <v>14.018558000000001</v>
      </c>
      <c r="C27" s="12">
        <v>0</v>
      </c>
      <c r="D27" s="12">
        <v>0.29917700000000003</v>
      </c>
      <c r="E27" s="12">
        <f t="shared" si="0"/>
        <v>14.317735000000001</v>
      </c>
      <c r="F27" s="12">
        <v>0</v>
      </c>
      <c r="G27" s="12">
        <v>0</v>
      </c>
      <c r="H27" s="12">
        <v>0</v>
      </c>
      <c r="I27" s="12">
        <v>1.1859999999999999</v>
      </c>
      <c r="J27" s="12">
        <v>0</v>
      </c>
      <c r="K27" s="12">
        <v>0</v>
      </c>
      <c r="L27" s="12">
        <v>1.1859999999999999</v>
      </c>
      <c r="M27" s="13">
        <v>7.6497695555296827E-2</v>
      </c>
      <c r="N27" s="12">
        <v>14.018558000000001</v>
      </c>
      <c r="O27" s="13">
        <v>0.90420521248589447</v>
      </c>
      <c r="P27" s="12">
        <v>0</v>
      </c>
      <c r="Q27" s="13">
        <v>0</v>
      </c>
      <c r="R27" s="12">
        <v>0.18562699999999999</v>
      </c>
      <c r="S27" s="13">
        <v>1.1973050364960443E-2</v>
      </c>
      <c r="T27" s="12">
        <v>0.11355</v>
      </c>
      <c r="U27" s="13">
        <v>7.3240415938481919E-3</v>
      </c>
      <c r="V27" s="12">
        <v>15.503735000000001</v>
      </c>
      <c r="W27" s="12">
        <f>('3-Fiscal Support for HE'!C27/1000000)-V27</f>
        <v>0</v>
      </c>
      <c r="X27" s="12">
        <v>15.503735000000001</v>
      </c>
      <c r="Y27" s="11"/>
      <c r="Z27" s="11"/>
      <c r="AA27" s="11"/>
      <c r="AB27" s="11"/>
      <c r="AC27" s="11"/>
      <c r="AD27" s="11"/>
      <c r="AE27" s="16">
        <v>1787065</v>
      </c>
      <c r="AF27" s="16">
        <v>164406</v>
      </c>
      <c r="AG27" s="11"/>
      <c r="AH27" s="11"/>
      <c r="AI27" s="11"/>
      <c r="AJ27" s="11"/>
      <c r="AK27" s="11"/>
    </row>
    <row r="28" spans="1:37" ht="12.75" x14ac:dyDescent="0.2">
      <c r="A28" s="11" t="s">
        <v>12</v>
      </c>
      <c r="B28" s="12">
        <v>392.24295599999999</v>
      </c>
      <c r="C28" s="12">
        <v>9.6350000000000005E-2</v>
      </c>
      <c r="D28" s="12">
        <v>0.85345099999999996</v>
      </c>
      <c r="E28" s="12">
        <f t="shared" si="0"/>
        <v>393.19275699999997</v>
      </c>
      <c r="F28" s="12">
        <v>0</v>
      </c>
      <c r="G28" s="12">
        <v>0.73029999999999995</v>
      </c>
      <c r="H28" s="12">
        <v>3.843216</v>
      </c>
      <c r="I28" s="12">
        <v>0</v>
      </c>
      <c r="J28" s="12">
        <v>0</v>
      </c>
      <c r="K28" s="12">
        <v>0</v>
      </c>
      <c r="L28" s="12">
        <v>392.33930600000002</v>
      </c>
      <c r="M28" s="13">
        <v>0.98970939798744562</v>
      </c>
      <c r="N28" s="12">
        <v>0</v>
      </c>
      <c r="O28" s="13">
        <v>0</v>
      </c>
      <c r="P28" s="12">
        <v>0</v>
      </c>
      <c r="Q28" s="13">
        <v>0</v>
      </c>
      <c r="R28" s="12">
        <v>4.0793869999999997</v>
      </c>
      <c r="S28" s="13">
        <v>1.0290602012554436E-2</v>
      </c>
      <c r="T28" s="12">
        <v>0</v>
      </c>
      <c r="U28" s="13">
        <v>0</v>
      </c>
      <c r="V28" s="12">
        <v>396.41869300000002</v>
      </c>
      <c r="W28" s="12">
        <f>('3-Fiscal Support for HE'!C28/1000000)-V28</f>
        <v>1.3975799999999481</v>
      </c>
      <c r="X28" s="12">
        <v>397.81627299999997</v>
      </c>
      <c r="Y28" s="11"/>
      <c r="Z28" s="11"/>
      <c r="AA28" s="11"/>
      <c r="AB28" s="11"/>
      <c r="AC28" s="11"/>
      <c r="AD28" s="11"/>
      <c r="AE28" s="16">
        <v>12671821</v>
      </c>
      <c r="AF28" s="16">
        <v>1157411</v>
      </c>
      <c r="AG28" s="11"/>
      <c r="AH28" s="11"/>
      <c r="AI28" s="11"/>
      <c r="AJ28" s="11"/>
      <c r="AK28" s="11"/>
    </row>
    <row r="29" spans="1:37" ht="12.75" x14ac:dyDescent="0.2">
      <c r="A29" s="11" t="s">
        <v>13</v>
      </c>
      <c r="B29" s="12">
        <v>148.38876500000001</v>
      </c>
      <c r="C29" s="12">
        <v>178.260481</v>
      </c>
      <c r="D29" s="12">
        <v>9.6051559999999991</v>
      </c>
      <c r="E29" s="12">
        <f t="shared" si="0"/>
        <v>336.25440200000003</v>
      </c>
      <c r="F29" s="12">
        <v>0</v>
      </c>
      <c r="G29" s="12">
        <v>0</v>
      </c>
      <c r="H29" s="12">
        <v>3.8665980000000002</v>
      </c>
      <c r="I29" s="12">
        <v>0.84063900000000003</v>
      </c>
      <c r="J29" s="12">
        <v>31.528483000000001</v>
      </c>
      <c r="K29" s="12">
        <v>0.49998999999999999</v>
      </c>
      <c r="L29" s="12">
        <v>326.27888400000001</v>
      </c>
      <c r="M29" s="13">
        <v>0.88188229072351898</v>
      </c>
      <c r="N29" s="12">
        <v>0</v>
      </c>
      <c r="O29" s="13">
        <v>0</v>
      </c>
      <c r="P29" s="12">
        <v>0</v>
      </c>
      <c r="Q29" s="13">
        <v>0</v>
      </c>
      <c r="R29" s="12">
        <v>43.7012</v>
      </c>
      <c r="S29" s="13">
        <v>0.11811770927648094</v>
      </c>
      <c r="T29" s="12">
        <v>0</v>
      </c>
      <c r="U29" s="13">
        <v>0</v>
      </c>
      <c r="V29" s="12">
        <v>369.98008400000003</v>
      </c>
      <c r="W29" s="12">
        <f>('3-Fiscal Support for HE'!C29/1000000)-V29</f>
        <v>3.0100279999999771</v>
      </c>
      <c r="X29" s="12">
        <v>372.99011200000001</v>
      </c>
      <c r="Y29" s="11"/>
      <c r="Z29" s="11"/>
      <c r="AA29" s="11"/>
      <c r="AB29" s="11"/>
      <c r="AC29" s="11"/>
      <c r="AD29" s="11"/>
      <c r="AE29" s="16">
        <v>6732219</v>
      </c>
      <c r="AF29" s="16">
        <v>659745</v>
      </c>
      <c r="AG29" s="11"/>
      <c r="AH29" s="11"/>
      <c r="AI29" s="11"/>
      <c r="AJ29" s="11"/>
      <c r="AK29" s="11"/>
    </row>
    <row r="30" spans="1:37" ht="12.75" x14ac:dyDescent="0.2">
      <c r="A30" s="11" t="s">
        <v>14</v>
      </c>
      <c r="B30" s="12">
        <v>46.551715999999999</v>
      </c>
      <c r="C30" s="12">
        <v>9.8822740000000007</v>
      </c>
      <c r="D30" s="12">
        <v>4.1703049999999999</v>
      </c>
      <c r="E30" s="12">
        <f t="shared" si="0"/>
        <v>60.604295</v>
      </c>
      <c r="F30" s="12">
        <v>0</v>
      </c>
      <c r="G30" s="12">
        <v>1.9505140000000001</v>
      </c>
      <c r="H30" s="12">
        <v>0</v>
      </c>
      <c r="I30" s="12">
        <v>0</v>
      </c>
      <c r="J30" s="12">
        <v>0</v>
      </c>
      <c r="K30" s="12">
        <v>0</v>
      </c>
      <c r="L30" s="12">
        <v>56.433990000000001</v>
      </c>
      <c r="M30" s="13">
        <v>0.93118796283332728</v>
      </c>
      <c r="N30" s="12">
        <v>0</v>
      </c>
      <c r="O30" s="13">
        <v>0</v>
      </c>
      <c r="P30" s="12">
        <v>0</v>
      </c>
      <c r="Q30" s="13">
        <v>0</v>
      </c>
      <c r="R30" s="12">
        <v>4.1703049999999999</v>
      </c>
      <c r="S30" s="13">
        <v>6.8812037166672751E-2</v>
      </c>
      <c r="T30" s="12">
        <v>0</v>
      </c>
      <c r="U30" s="13">
        <v>0</v>
      </c>
      <c r="V30" s="12">
        <v>60.604295</v>
      </c>
      <c r="W30" s="12">
        <f>('3-Fiscal Support for HE'!C30/1000000)-V30</f>
        <v>1.9505139999999983</v>
      </c>
      <c r="X30" s="12">
        <v>62.554808999999999</v>
      </c>
      <c r="Y30" s="11"/>
      <c r="Z30" s="11"/>
      <c r="AA30" s="11"/>
      <c r="AB30" s="11"/>
      <c r="AC30" s="11"/>
      <c r="AD30" s="11"/>
      <c r="AE30" s="16">
        <v>3155070</v>
      </c>
      <c r="AF30" s="16">
        <v>313705</v>
      </c>
      <c r="AG30" s="11"/>
      <c r="AH30" s="11"/>
      <c r="AI30" s="11"/>
      <c r="AJ30" s="11"/>
      <c r="AK30" s="11"/>
    </row>
    <row r="31" spans="1:37" ht="12.75" x14ac:dyDescent="0.2">
      <c r="A31" s="11" t="s">
        <v>15</v>
      </c>
      <c r="B31" s="12">
        <v>15.758338</v>
      </c>
      <c r="C31" s="12">
        <v>1.9322029999999999</v>
      </c>
      <c r="D31" s="12">
        <v>0</v>
      </c>
      <c r="E31" s="12">
        <f t="shared" si="0"/>
        <v>17.690541</v>
      </c>
      <c r="F31" s="12">
        <v>0</v>
      </c>
      <c r="G31" s="12">
        <v>0</v>
      </c>
      <c r="H31" s="12">
        <v>3.642045</v>
      </c>
      <c r="I31" s="12">
        <v>1.1079369999999999</v>
      </c>
      <c r="J31" s="12">
        <v>0</v>
      </c>
      <c r="K31" s="12">
        <v>0</v>
      </c>
      <c r="L31" s="12">
        <v>15.958746</v>
      </c>
      <c r="M31" s="13">
        <v>0.80886769088040511</v>
      </c>
      <c r="N31" s="12">
        <v>1.556945</v>
      </c>
      <c r="O31" s="13">
        <v>7.8913625605532695E-2</v>
      </c>
      <c r="P31" s="12">
        <v>0</v>
      </c>
      <c r="Q31" s="13">
        <v>0</v>
      </c>
      <c r="R31" s="12">
        <v>2.214045</v>
      </c>
      <c r="S31" s="13">
        <v>0.11221868351406224</v>
      </c>
      <c r="T31" s="12">
        <v>0</v>
      </c>
      <c r="U31" s="13">
        <v>0</v>
      </c>
      <c r="V31" s="12">
        <v>19.729735999999999</v>
      </c>
      <c r="W31" s="12">
        <f>('3-Fiscal Support for HE'!C31/1000000)-V31</f>
        <v>2.7107869999999998</v>
      </c>
      <c r="X31" s="12">
        <v>22.440522999999999</v>
      </c>
      <c r="Y31" s="11"/>
      <c r="Z31" s="11"/>
      <c r="AA31" s="11"/>
      <c r="AB31" s="11"/>
      <c r="AC31" s="11"/>
      <c r="AD31" s="11"/>
      <c r="AE31" s="16">
        <v>2913314</v>
      </c>
      <c r="AF31" s="16">
        <v>294160</v>
      </c>
      <c r="AG31" s="11"/>
      <c r="AH31" s="11"/>
      <c r="AI31" s="11"/>
      <c r="AJ31" s="11"/>
      <c r="AK31" s="11"/>
    </row>
    <row r="32" spans="1:37" ht="12.75" x14ac:dyDescent="0.2">
      <c r="A32" s="11" t="s">
        <v>18</v>
      </c>
      <c r="B32" s="12">
        <v>14.99779</v>
      </c>
      <c r="C32" s="12">
        <v>0</v>
      </c>
      <c r="D32" s="12">
        <v>0</v>
      </c>
      <c r="E32" s="12">
        <f t="shared" si="0"/>
        <v>14.99779</v>
      </c>
      <c r="F32" s="12">
        <v>0</v>
      </c>
      <c r="G32" s="12">
        <v>1.3420000000000001</v>
      </c>
      <c r="H32" s="12">
        <v>0.38</v>
      </c>
      <c r="I32" s="12">
        <v>0</v>
      </c>
      <c r="J32" s="12">
        <v>0</v>
      </c>
      <c r="K32" s="12">
        <v>0</v>
      </c>
      <c r="L32" s="12">
        <v>14.99779</v>
      </c>
      <c r="M32" s="13">
        <v>0.98357192839328211</v>
      </c>
      <c r="N32" s="12">
        <v>0</v>
      </c>
      <c r="O32" s="13">
        <v>0</v>
      </c>
      <c r="P32" s="12">
        <v>0</v>
      </c>
      <c r="Q32" s="13">
        <v>0</v>
      </c>
      <c r="R32" s="12">
        <v>0.2505</v>
      </c>
      <c r="S32" s="13">
        <v>1.6428071606717866E-2</v>
      </c>
      <c r="T32" s="12">
        <v>0</v>
      </c>
      <c r="U32" s="13">
        <v>0</v>
      </c>
      <c r="V32" s="12">
        <v>15.248290000000001</v>
      </c>
      <c r="W32" s="12">
        <f>('3-Fiscal Support for HE'!C32/1000000)-V32</f>
        <v>2.2964999999999982</v>
      </c>
      <c r="X32" s="12">
        <v>17.544789999999999</v>
      </c>
      <c r="Y32" s="11"/>
      <c r="Z32" s="11"/>
      <c r="AA32" s="11"/>
      <c r="AB32" s="11"/>
      <c r="AC32" s="11"/>
      <c r="AD32" s="11"/>
      <c r="AE32" s="16">
        <v>1344212</v>
      </c>
      <c r="AF32" s="16">
        <v>106932</v>
      </c>
      <c r="AG32" s="11"/>
      <c r="AH32" s="11"/>
      <c r="AI32" s="11"/>
      <c r="AJ32" s="11"/>
      <c r="AK32" s="11"/>
    </row>
    <row r="33" spans="1:37" ht="12.75" x14ac:dyDescent="0.2">
      <c r="A33" s="11" t="s">
        <v>20</v>
      </c>
      <c r="B33" s="12">
        <v>48.630273000000003</v>
      </c>
      <c r="C33" s="12">
        <v>51.476247000000001</v>
      </c>
      <c r="D33" s="12">
        <v>1.9729019999999999</v>
      </c>
      <c r="E33" s="12">
        <f t="shared" si="0"/>
        <v>102.07942200000001</v>
      </c>
      <c r="F33" s="12">
        <v>4.3921999999999999</v>
      </c>
      <c r="G33" s="12">
        <v>0</v>
      </c>
      <c r="H33" s="12">
        <v>0</v>
      </c>
      <c r="I33" s="12">
        <v>0</v>
      </c>
      <c r="J33" s="12">
        <v>39.501193999999998</v>
      </c>
      <c r="K33" s="12">
        <v>0</v>
      </c>
      <c r="L33" s="12">
        <v>91.06935</v>
      </c>
      <c r="M33" s="13">
        <v>0.62387883234368791</v>
      </c>
      <c r="N33" s="12">
        <v>0</v>
      </c>
      <c r="O33" s="13">
        <v>0</v>
      </c>
      <c r="P33" s="12">
        <v>0</v>
      </c>
      <c r="Q33" s="13">
        <v>0</v>
      </c>
      <c r="R33" s="12">
        <v>54.903466000000002</v>
      </c>
      <c r="S33" s="13">
        <v>0.37612116765631215</v>
      </c>
      <c r="T33" s="12">
        <v>0</v>
      </c>
      <c r="U33" s="13">
        <v>0</v>
      </c>
      <c r="V33" s="12">
        <v>145.97281599999999</v>
      </c>
      <c r="W33" s="12">
        <f>('3-Fiscal Support for HE'!C33/1000000)-V33</f>
        <v>0</v>
      </c>
      <c r="X33" s="12">
        <v>145.97281600000002</v>
      </c>
      <c r="Y33" s="11"/>
      <c r="Z33" s="11"/>
      <c r="AA33" s="11"/>
      <c r="AB33" s="11"/>
      <c r="AC33" s="11"/>
      <c r="AD33" s="11"/>
      <c r="AE33" s="16">
        <v>6892503</v>
      </c>
      <c r="AF33" s="16">
        <v>690721</v>
      </c>
      <c r="AG33" s="11"/>
      <c r="AH33" s="11"/>
      <c r="AI33" s="11"/>
      <c r="AJ33" s="11"/>
      <c r="AK33" s="11"/>
    </row>
    <row r="34" spans="1:37" ht="12.75" x14ac:dyDescent="0.2">
      <c r="A34" s="11" t="s">
        <v>21</v>
      </c>
      <c r="B34" s="12">
        <v>34.677384000000004</v>
      </c>
      <c r="C34" s="12">
        <v>85.797783999999993</v>
      </c>
      <c r="D34" s="12">
        <v>1.094166</v>
      </c>
      <c r="E34" s="12">
        <f t="shared" si="0"/>
        <v>121.569334</v>
      </c>
      <c r="F34" s="12">
        <v>0</v>
      </c>
      <c r="G34" s="12">
        <v>0</v>
      </c>
      <c r="H34" s="12">
        <v>0</v>
      </c>
      <c r="I34" s="12">
        <v>0</v>
      </c>
      <c r="J34" s="12">
        <v>6.9666000000000006E-2</v>
      </c>
      <c r="K34" s="12">
        <v>0</v>
      </c>
      <c r="L34" s="12">
        <v>85.797783999999993</v>
      </c>
      <c r="M34" s="13">
        <v>0.70534765987882175</v>
      </c>
      <c r="N34" s="12">
        <v>34.677384000000004</v>
      </c>
      <c r="O34" s="13">
        <v>0.28508442193704325</v>
      </c>
      <c r="P34" s="12">
        <v>0</v>
      </c>
      <c r="Q34" s="13">
        <v>0</v>
      </c>
      <c r="R34" s="12">
        <v>1.163832</v>
      </c>
      <c r="S34" s="13">
        <v>9.5679181841350231E-3</v>
      </c>
      <c r="T34" s="12">
        <v>0</v>
      </c>
      <c r="U34" s="13">
        <v>0</v>
      </c>
      <c r="V34" s="12">
        <v>121.639</v>
      </c>
      <c r="W34" s="12">
        <f>('3-Fiscal Support for HE'!C34/1000000)-V34</f>
        <v>0</v>
      </c>
      <c r="X34" s="12">
        <v>121.639</v>
      </c>
      <c r="Y34" s="11"/>
      <c r="Z34" s="11"/>
      <c r="AA34" s="11"/>
      <c r="AB34" s="11"/>
      <c r="AC34" s="11"/>
      <c r="AD34" s="11"/>
      <c r="AE34" s="16">
        <v>9986857</v>
      </c>
      <c r="AF34" s="16">
        <v>945523</v>
      </c>
      <c r="AG34" s="11"/>
      <c r="AH34" s="11"/>
      <c r="AI34" s="11"/>
      <c r="AJ34" s="11"/>
      <c r="AK34" s="11"/>
    </row>
    <row r="35" spans="1:37" ht="12.75" x14ac:dyDescent="0.2">
      <c r="A35" s="11" t="s">
        <v>22</v>
      </c>
      <c r="B35" s="12">
        <v>207.69410400000001</v>
      </c>
      <c r="C35" s="12">
        <v>9.0638710000000007</v>
      </c>
      <c r="D35" s="12">
        <v>1.3868050000000001</v>
      </c>
      <c r="E35" s="12">
        <f t="shared" si="0"/>
        <v>218.14478000000003</v>
      </c>
      <c r="F35" s="12">
        <v>65.770494999999997</v>
      </c>
      <c r="G35" s="12">
        <v>0</v>
      </c>
      <c r="H35" s="12">
        <v>0</v>
      </c>
      <c r="I35" s="12">
        <v>15.053103</v>
      </c>
      <c r="J35" s="12">
        <v>0</v>
      </c>
      <c r="K35" s="12">
        <v>0</v>
      </c>
      <c r="L35" s="12">
        <v>225.17347699999999</v>
      </c>
      <c r="M35" s="13">
        <v>0.75689764302513429</v>
      </c>
      <c r="N35" s="12">
        <v>0</v>
      </c>
      <c r="O35" s="13">
        <v>0</v>
      </c>
      <c r="P35" s="12">
        <v>0</v>
      </c>
      <c r="Q35" s="13">
        <v>0</v>
      </c>
      <c r="R35" s="12">
        <v>8.0244060000000008</v>
      </c>
      <c r="S35" s="13">
        <v>2.6973221131531163E-2</v>
      </c>
      <c r="T35" s="12">
        <v>64.297398000000001</v>
      </c>
      <c r="U35" s="13">
        <v>0.21612913584333462</v>
      </c>
      <c r="V35" s="12">
        <v>297.49528099999998</v>
      </c>
      <c r="W35" s="12">
        <f>('3-Fiscal Support for HE'!C35/1000000)-V35</f>
        <v>4.9127150000000483</v>
      </c>
      <c r="X35" s="12">
        <v>302.40799600000003</v>
      </c>
      <c r="Y35" s="11"/>
      <c r="Z35" s="11"/>
      <c r="AA35" s="11"/>
      <c r="AB35" s="11"/>
      <c r="AC35" s="11"/>
      <c r="AD35" s="11"/>
      <c r="AE35" s="16">
        <v>5639632</v>
      </c>
      <c r="AF35" s="16">
        <v>498118</v>
      </c>
      <c r="AG35" s="11"/>
      <c r="AH35" s="11"/>
      <c r="AI35" s="11"/>
      <c r="AJ35" s="11"/>
      <c r="AK35" s="11"/>
    </row>
    <row r="36" spans="1:37" ht="12.75" x14ac:dyDescent="0.2">
      <c r="A36" s="11" t="s">
        <v>24</v>
      </c>
      <c r="B36" s="12">
        <v>67.909710000000004</v>
      </c>
      <c r="C36" s="12">
        <v>0.435504</v>
      </c>
      <c r="D36" s="12">
        <v>60.600231000000001</v>
      </c>
      <c r="E36" s="12">
        <f t="shared" si="0"/>
        <v>128.94544500000001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68.333714000000001</v>
      </c>
      <c r="M36" s="13">
        <v>0.52994282969824957</v>
      </c>
      <c r="N36" s="12">
        <v>1.15E-2</v>
      </c>
      <c r="O36" s="13" t="s">
        <v>105</v>
      </c>
      <c r="P36" s="12">
        <v>60.211098999999997</v>
      </c>
      <c r="Q36" s="13">
        <v>0.4669501819160809</v>
      </c>
      <c r="R36" s="12">
        <v>0.38913199999999998</v>
      </c>
      <c r="S36" s="13">
        <v>3.0178033818875887E-3</v>
      </c>
      <c r="T36" s="12">
        <v>0</v>
      </c>
      <c r="U36" s="13">
        <v>0</v>
      </c>
      <c r="V36" s="12">
        <v>128.94544499999998</v>
      </c>
      <c r="W36" s="12">
        <f>('3-Fiscal Support for HE'!C36/1000000)-V36</f>
        <v>3.1970000000285381E-3</v>
      </c>
      <c r="X36" s="12">
        <v>128.94864200000001</v>
      </c>
      <c r="Y36" s="11"/>
      <c r="Z36" s="11"/>
      <c r="AA36" s="11"/>
      <c r="AB36" s="11"/>
      <c r="AC36" s="11"/>
      <c r="AD36" s="11"/>
      <c r="AE36" s="16">
        <v>6137428</v>
      </c>
      <c r="AF36" s="16">
        <v>561504</v>
      </c>
      <c r="AG36" s="11"/>
      <c r="AH36" s="11"/>
      <c r="AI36" s="11"/>
      <c r="AJ36" s="11"/>
      <c r="AK36" s="11"/>
    </row>
    <row r="37" spans="1:37" ht="12.75" x14ac:dyDescent="0.2">
      <c r="A37" s="11" t="s">
        <v>25</v>
      </c>
      <c r="B37" s="12">
        <v>0.45816000000000001</v>
      </c>
      <c r="C37" s="12">
        <v>0</v>
      </c>
      <c r="D37" s="12">
        <v>0</v>
      </c>
      <c r="E37" s="12">
        <f t="shared" si="0"/>
        <v>0.45816000000000001</v>
      </c>
      <c r="F37" s="12">
        <v>0</v>
      </c>
      <c r="G37" s="12">
        <v>0</v>
      </c>
      <c r="H37" s="12">
        <v>0</v>
      </c>
      <c r="I37" s="12">
        <v>0.81553200000000003</v>
      </c>
      <c r="J37" s="12">
        <v>0</v>
      </c>
      <c r="K37" s="12">
        <v>0</v>
      </c>
      <c r="L37" s="12">
        <v>1.273692</v>
      </c>
      <c r="M37" s="13">
        <v>1</v>
      </c>
      <c r="N37" s="12">
        <v>0</v>
      </c>
      <c r="O37" s="13">
        <v>0</v>
      </c>
      <c r="P37" s="12">
        <v>0</v>
      </c>
      <c r="Q37" s="13">
        <v>0</v>
      </c>
      <c r="R37" s="12">
        <v>0</v>
      </c>
      <c r="S37" s="13">
        <v>0</v>
      </c>
      <c r="T37" s="12">
        <v>0</v>
      </c>
      <c r="U37" s="13">
        <v>0</v>
      </c>
      <c r="V37" s="12">
        <v>1.273692</v>
      </c>
      <c r="W37" s="12">
        <f>('3-Fiscal Support for HE'!C37/1000000)-V37</f>
        <v>0</v>
      </c>
      <c r="X37" s="12">
        <v>1.273692</v>
      </c>
      <c r="Y37" s="11"/>
      <c r="Z37" s="11"/>
      <c r="AA37" s="11"/>
      <c r="AB37" s="11"/>
      <c r="AC37" s="11"/>
      <c r="AD37" s="11"/>
      <c r="AE37" s="16">
        <v>1068778</v>
      </c>
      <c r="AF37" s="16">
        <v>97764</v>
      </c>
      <c r="AG37" s="11"/>
      <c r="AH37" s="11"/>
      <c r="AI37" s="11"/>
      <c r="AJ37" s="11"/>
      <c r="AK37" s="11"/>
    </row>
    <row r="38" spans="1:37" ht="12.75" x14ac:dyDescent="0.2">
      <c r="A38" s="11" t="s">
        <v>26</v>
      </c>
      <c r="B38" s="12">
        <v>17.978263999999999</v>
      </c>
      <c r="C38" s="12">
        <v>0.995417</v>
      </c>
      <c r="D38" s="12">
        <v>5.6285000000000002E-2</v>
      </c>
      <c r="E38" s="12">
        <f t="shared" si="0"/>
        <v>19.029965999999998</v>
      </c>
      <c r="F38" s="12">
        <v>0</v>
      </c>
      <c r="G38" s="12">
        <v>0</v>
      </c>
      <c r="H38" s="12">
        <v>0</v>
      </c>
      <c r="I38" s="12">
        <v>0</v>
      </c>
      <c r="J38" s="12">
        <v>2.1197279999999998</v>
      </c>
      <c r="K38" s="12">
        <v>0</v>
      </c>
      <c r="L38" s="12">
        <v>17.978263999999999</v>
      </c>
      <c r="M38" s="13">
        <v>0.86996540561601898</v>
      </c>
      <c r="N38" s="12">
        <v>0</v>
      </c>
      <c r="O38" s="13">
        <v>0</v>
      </c>
      <c r="P38" s="12">
        <v>0</v>
      </c>
      <c r="Q38" s="13">
        <v>0</v>
      </c>
      <c r="R38" s="12">
        <v>2.6872289999999999</v>
      </c>
      <c r="S38" s="13">
        <v>0.13003459438398107</v>
      </c>
      <c r="T38" s="12">
        <v>0</v>
      </c>
      <c r="U38" s="13">
        <v>0</v>
      </c>
      <c r="V38" s="12">
        <v>20.665492999999998</v>
      </c>
      <c r="W38" s="12">
        <f>('3-Fiscal Support for HE'!C38/1000000)-V38</f>
        <v>0.48420099999999877</v>
      </c>
      <c r="X38" s="12">
        <v>21.149693999999997</v>
      </c>
      <c r="Y38" s="11"/>
      <c r="Z38" s="11"/>
      <c r="AA38" s="11"/>
      <c r="AB38" s="11"/>
      <c r="AC38" s="11"/>
      <c r="AD38" s="11"/>
      <c r="AE38" s="16">
        <v>1934408</v>
      </c>
      <c r="AF38" s="16">
        <v>189298</v>
      </c>
      <c r="AG38" s="11"/>
      <c r="AH38" s="11"/>
      <c r="AI38" s="11"/>
      <c r="AJ38" s="11"/>
      <c r="AK38" s="11"/>
    </row>
    <row r="39" spans="1:37" ht="12.75" x14ac:dyDescent="0.2">
      <c r="A39" s="11" t="s">
        <v>27</v>
      </c>
      <c r="B39" s="12">
        <v>4.9968079999999997</v>
      </c>
      <c r="C39" s="12">
        <v>7.7170990000000002</v>
      </c>
      <c r="D39" s="12">
        <v>38.734468999999997</v>
      </c>
      <c r="E39" s="12">
        <f t="shared" si="0"/>
        <v>51.448375999999996</v>
      </c>
      <c r="F39" s="12">
        <v>0</v>
      </c>
      <c r="G39" s="12">
        <v>0</v>
      </c>
      <c r="H39" s="12">
        <v>0</v>
      </c>
      <c r="I39" s="12">
        <v>0.168374</v>
      </c>
      <c r="J39" s="12">
        <v>19.285917999999999</v>
      </c>
      <c r="K39" s="12">
        <v>0.84991499999999998</v>
      </c>
      <c r="L39" s="12">
        <v>24.321072000000001</v>
      </c>
      <c r="M39" s="13">
        <v>0.38200214046846698</v>
      </c>
      <c r="N39" s="12">
        <v>0</v>
      </c>
      <c r="O39" s="13">
        <v>0</v>
      </c>
      <c r="P39" s="12">
        <v>36.977859000000002</v>
      </c>
      <c r="Q39" s="13">
        <v>0.58079764279885215</v>
      </c>
      <c r="R39" s="12">
        <v>0.61182999999999998</v>
      </c>
      <c r="S39" s="13">
        <v>9.6097889765229972E-3</v>
      </c>
      <c r="T39" s="12">
        <v>1.75661</v>
      </c>
      <c r="U39" s="13">
        <v>2.7590427756157859E-2</v>
      </c>
      <c r="V39" s="12">
        <v>63.667371000000003</v>
      </c>
      <c r="W39" s="12">
        <f>('3-Fiscal Support for HE'!C39/1000000)-V39</f>
        <v>8.7278340000000014</v>
      </c>
      <c r="X39" s="12">
        <v>72.395205000000004</v>
      </c>
      <c r="Y39" s="11"/>
      <c r="Z39" s="11"/>
      <c r="AA39" s="11"/>
      <c r="AB39" s="11"/>
      <c r="AC39" s="11"/>
      <c r="AD39" s="11"/>
      <c r="AE39" s="16">
        <v>3080156</v>
      </c>
      <c r="AF39" s="16">
        <v>250220</v>
      </c>
      <c r="AG39" s="11"/>
      <c r="AH39" s="11"/>
      <c r="AI39" s="11"/>
      <c r="AJ39" s="11"/>
      <c r="AK39" s="11"/>
    </row>
    <row r="40" spans="1:37" ht="12.75" x14ac:dyDescent="0.2">
      <c r="A40" s="11" t="s">
        <v>28</v>
      </c>
      <c r="B40" s="12">
        <v>3</v>
      </c>
      <c r="C40" s="12">
        <v>0</v>
      </c>
      <c r="D40" s="12">
        <v>1.9101999999999999</v>
      </c>
      <c r="E40" s="12">
        <f t="shared" si="0"/>
        <v>4.9101999999999997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3</v>
      </c>
      <c r="M40" s="13">
        <v>0.61097307645309762</v>
      </c>
      <c r="N40" s="12">
        <v>0</v>
      </c>
      <c r="O40" s="13">
        <v>0</v>
      </c>
      <c r="P40" s="12">
        <v>0</v>
      </c>
      <c r="Q40" s="13">
        <v>0</v>
      </c>
      <c r="R40" s="12">
        <v>1.9101999999999999</v>
      </c>
      <c r="S40" s="13">
        <v>0</v>
      </c>
      <c r="T40" s="12">
        <v>0</v>
      </c>
      <c r="U40" s="13">
        <v>0</v>
      </c>
      <c r="V40" s="12">
        <v>4.9101999999999997</v>
      </c>
      <c r="W40" s="12">
        <f>('3-Fiscal Support for HE'!C40/1000000)-V40</f>
        <v>0</v>
      </c>
      <c r="X40" s="12">
        <v>4.9101999999999997</v>
      </c>
      <c r="Y40" s="11"/>
      <c r="Z40" s="11"/>
      <c r="AA40" s="11"/>
      <c r="AB40" s="11"/>
      <c r="AC40" s="11"/>
      <c r="AD40" s="11"/>
      <c r="AE40" s="16">
        <v>1359711</v>
      </c>
      <c r="AF40" s="16">
        <v>123691</v>
      </c>
      <c r="AG40" s="11"/>
      <c r="AH40" s="11"/>
      <c r="AI40" s="11"/>
      <c r="AJ40" s="11"/>
      <c r="AK40" s="11"/>
    </row>
    <row r="41" spans="1:37" ht="12.75" x14ac:dyDescent="0.2">
      <c r="A41" s="11" t="s">
        <v>29</v>
      </c>
      <c r="B41" s="12">
        <v>440.50937399999998</v>
      </c>
      <c r="C41" s="12">
        <v>37.984264000000003</v>
      </c>
      <c r="D41" s="12">
        <v>7.1020479999999999</v>
      </c>
      <c r="E41" s="12">
        <f t="shared" si="0"/>
        <v>485.595686</v>
      </c>
      <c r="F41" s="12">
        <v>149.217173</v>
      </c>
      <c r="G41" s="12">
        <v>1.4278489999999999</v>
      </c>
      <c r="H41" s="12">
        <v>0</v>
      </c>
      <c r="I41" s="12">
        <v>0</v>
      </c>
      <c r="J41" s="12">
        <v>0</v>
      </c>
      <c r="K41" s="12">
        <v>2.5000000000000001E-2</v>
      </c>
      <c r="L41" s="12">
        <v>477.99106499999999</v>
      </c>
      <c r="M41" s="13">
        <v>0.98433960346179861</v>
      </c>
      <c r="N41" s="12">
        <v>0.50257300000000005</v>
      </c>
      <c r="O41" s="13">
        <v>1.0349618303651901E-3</v>
      </c>
      <c r="P41" s="12">
        <v>6.5068070000000002</v>
      </c>
      <c r="Q41" s="13">
        <v>1.3399639221671341E-2</v>
      </c>
      <c r="R41" s="12">
        <v>0.59524100000000002</v>
      </c>
      <c r="S41" s="13">
        <v>1.2257954861650069E-3</v>
      </c>
      <c r="T41" s="12">
        <v>0</v>
      </c>
      <c r="U41" s="13">
        <v>0</v>
      </c>
      <c r="V41" s="12">
        <v>485.59568599999994</v>
      </c>
      <c r="W41" s="12">
        <f>('3-Fiscal Support for HE'!C41/1000000)-V41</f>
        <v>151.40747200000004</v>
      </c>
      <c r="X41" s="12">
        <v>637.00315799999998</v>
      </c>
      <c r="Y41" s="11"/>
      <c r="Z41" s="11"/>
      <c r="AA41" s="11"/>
      <c r="AB41" s="11"/>
      <c r="AC41" s="11"/>
      <c r="AD41" s="11"/>
      <c r="AE41" s="16">
        <v>8882190</v>
      </c>
      <c r="AF41" s="16">
        <v>753634</v>
      </c>
      <c r="AG41" s="11"/>
      <c r="AH41" s="11"/>
      <c r="AI41" s="11"/>
      <c r="AJ41" s="11"/>
      <c r="AK41" s="11"/>
    </row>
    <row r="42" spans="1:37" ht="12.75" x14ac:dyDescent="0.2">
      <c r="A42" s="11" t="s">
        <v>30</v>
      </c>
      <c r="B42" s="12">
        <v>11.350097</v>
      </c>
      <c r="C42" s="12">
        <v>12.166221999999999</v>
      </c>
      <c r="D42" s="12">
        <v>59.985616</v>
      </c>
      <c r="E42" s="12">
        <f t="shared" si="0"/>
        <v>83.501935000000003</v>
      </c>
      <c r="F42" s="12">
        <v>0</v>
      </c>
      <c r="G42" s="12">
        <v>4.4493309999999999</v>
      </c>
      <c r="H42" s="12">
        <v>0</v>
      </c>
      <c r="I42" s="12">
        <v>0</v>
      </c>
      <c r="J42" s="12">
        <v>0</v>
      </c>
      <c r="K42" s="12">
        <v>0</v>
      </c>
      <c r="L42" s="12">
        <v>23.25976</v>
      </c>
      <c r="M42" s="13">
        <v>0.27669902179224753</v>
      </c>
      <c r="N42" s="12">
        <v>0.25655899999999998</v>
      </c>
      <c r="O42" s="13">
        <v>3.0520359768113352E-3</v>
      </c>
      <c r="P42" s="12">
        <v>59.985616</v>
      </c>
      <c r="Q42" s="13">
        <v>0.71359125239492549</v>
      </c>
      <c r="R42" s="12">
        <v>0.55965600000000004</v>
      </c>
      <c r="S42" s="13">
        <v>6.6576898360155949E-3</v>
      </c>
      <c r="T42" s="12">
        <v>0</v>
      </c>
      <c r="U42" s="13">
        <v>0</v>
      </c>
      <c r="V42" s="12">
        <v>84.061591000000007</v>
      </c>
      <c r="W42" s="12">
        <f>('3-Fiscal Support for HE'!C42/1000000)-V42</f>
        <v>4.734148999999988</v>
      </c>
      <c r="X42" s="12">
        <v>88.795739999999995</v>
      </c>
      <c r="Y42" s="11"/>
      <c r="Z42" s="11"/>
      <c r="AA42" s="11"/>
      <c r="AB42" s="11"/>
      <c r="AC42" s="11"/>
      <c r="AD42" s="11"/>
      <c r="AE42" s="16">
        <v>2096829</v>
      </c>
      <c r="AF42" s="16">
        <v>195875</v>
      </c>
      <c r="AG42" s="11"/>
      <c r="AH42" s="11"/>
      <c r="AI42" s="11"/>
      <c r="AJ42" s="11"/>
      <c r="AK42" s="11"/>
    </row>
    <row r="43" spans="1:37" ht="12.75" x14ac:dyDescent="0.2">
      <c r="A43" s="11" t="s">
        <v>31</v>
      </c>
      <c r="B43" s="12">
        <v>881.53099999999995</v>
      </c>
      <c r="C43" s="12">
        <v>14.0878</v>
      </c>
      <c r="D43" s="12">
        <v>46.359000000000002</v>
      </c>
      <c r="E43" s="12">
        <f t="shared" si="0"/>
        <v>941.9778</v>
      </c>
      <c r="F43" s="12">
        <v>0</v>
      </c>
      <c r="G43" s="12">
        <v>9.3490000000000002</v>
      </c>
      <c r="H43" s="12">
        <v>101.517</v>
      </c>
      <c r="I43" s="12">
        <v>0</v>
      </c>
      <c r="J43" s="12">
        <v>0</v>
      </c>
      <c r="K43" s="12">
        <v>103.10872000000001</v>
      </c>
      <c r="L43" s="12">
        <v>890.4058</v>
      </c>
      <c r="M43" s="13">
        <v>0.85327486177018108</v>
      </c>
      <c r="N43" s="12">
        <v>0.81499999999999995</v>
      </c>
      <c r="O43" s="13">
        <v>7.810135697034964E-4</v>
      </c>
      <c r="P43" s="12">
        <v>11.726000000000001</v>
      </c>
      <c r="Q43" s="13">
        <v>1.1237012415145031E-2</v>
      </c>
      <c r="R43" s="12">
        <v>140.56899999999999</v>
      </c>
      <c r="S43" s="13">
        <v>0.13470711224497028</v>
      </c>
      <c r="T43" s="12">
        <v>0</v>
      </c>
      <c r="U43" s="13">
        <v>0</v>
      </c>
      <c r="V43" s="12">
        <v>1043.5158000000001</v>
      </c>
      <c r="W43" s="12">
        <f>('3-Fiscal Support for HE'!C43/1000000)-V43</f>
        <v>112.4377199999999</v>
      </c>
      <c r="X43" s="12">
        <v>1155.95352</v>
      </c>
      <c r="Y43" s="11"/>
      <c r="Z43" s="11"/>
      <c r="AA43" s="11"/>
      <c r="AB43" s="11"/>
      <c r="AC43" s="11"/>
      <c r="AD43" s="11"/>
      <c r="AE43" s="16">
        <v>19453561</v>
      </c>
      <c r="AF43" s="16">
        <v>1762544</v>
      </c>
      <c r="AG43" s="11"/>
      <c r="AH43" s="11"/>
      <c r="AI43" s="11"/>
      <c r="AJ43" s="11"/>
      <c r="AK43" s="11"/>
    </row>
    <row r="44" spans="1:37" ht="12.75" x14ac:dyDescent="0.2">
      <c r="A44" s="11" t="s">
        <v>33</v>
      </c>
      <c r="B44" s="12">
        <v>9.5798710000000007</v>
      </c>
      <c r="C44" s="12">
        <v>0.13428000000000001</v>
      </c>
      <c r="D44" s="12">
        <v>8.2389779999999995</v>
      </c>
      <c r="E44" s="12">
        <f t="shared" si="0"/>
        <v>17.953129000000001</v>
      </c>
      <c r="F44" s="12">
        <v>0</v>
      </c>
      <c r="G44" s="12">
        <v>1.521506</v>
      </c>
      <c r="H44" s="12">
        <v>0</v>
      </c>
      <c r="I44" s="12">
        <v>0</v>
      </c>
      <c r="J44" s="12">
        <v>0</v>
      </c>
      <c r="K44" s="12">
        <v>0</v>
      </c>
      <c r="L44" s="12">
        <v>9.5798710000000007</v>
      </c>
      <c r="M44" s="13">
        <v>0.53360453211248027</v>
      </c>
      <c r="N44" s="12">
        <v>0</v>
      </c>
      <c r="O44" s="13">
        <v>0</v>
      </c>
      <c r="P44" s="12">
        <v>0</v>
      </c>
      <c r="Q44" s="13">
        <v>0</v>
      </c>
      <c r="R44" s="12">
        <v>8.3732579999999999</v>
      </c>
      <c r="S44" s="13">
        <v>0.46639546788751973</v>
      </c>
      <c r="T44" s="12">
        <v>0</v>
      </c>
      <c r="U44" s="13">
        <v>0</v>
      </c>
      <c r="V44" s="12">
        <v>17.953129000000001</v>
      </c>
      <c r="W44" s="12">
        <f>('3-Fiscal Support for HE'!C44/1000000)-V44</f>
        <v>3.2170169999999985</v>
      </c>
      <c r="X44" s="12">
        <v>21.170145999999999</v>
      </c>
      <c r="Y44" s="11"/>
      <c r="Z44" s="11"/>
      <c r="AA44" s="11"/>
      <c r="AB44" s="11"/>
      <c r="AC44" s="11"/>
      <c r="AD44" s="11"/>
      <c r="AE44" s="16">
        <v>762062</v>
      </c>
      <c r="AF44" s="16">
        <v>82822</v>
      </c>
      <c r="AG44" s="11"/>
      <c r="AH44" s="11"/>
      <c r="AI44" s="11"/>
      <c r="AJ44" s="11"/>
      <c r="AK44" s="11"/>
    </row>
    <row r="45" spans="1:37" ht="12.75" x14ac:dyDescent="0.2">
      <c r="A45" s="11" t="s">
        <v>34</v>
      </c>
      <c r="B45" s="12">
        <v>94.341560999999999</v>
      </c>
      <c r="C45" s="12">
        <v>0</v>
      </c>
      <c r="D45" s="12">
        <v>27.862538000000001</v>
      </c>
      <c r="E45" s="12">
        <f t="shared" si="0"/>
        <v>122.204099</v>
      </c>
      <c r="F45" s="12">
        <v>0</v>
      </c>
      <c r="G45" s="12">
        <v>0.58979300000000001</v>
      </c>
      <c r="H45" s="12">
        <v>0</v>
      </c>
      <c r="I45" s="12">
        <v>0</v>
      </c>
      <c r="J45" s="12">
        <v>0.297877</v>
      </c>
      <c r="K45" s="12">
        <v>0</v>
      </c>
      <c r="L45" s="12">
        <v>94.341560999999999</v>
      </c>
      <c r="M45" s="13">
        <v>0.77012276928496237</v>
      </c>
      <c r="N45" s="12">
        <v>0</v>
      </c>
      <c r="O45" s="13">
        <v>0</v>
      </c>
      <c r="P45" s="12">
        <v>0</v>
      </c>
      <c r="Q45" s="13">
        <v>0</v>
      </c>
      <c r="R45" s="12">
        <v>19.479808999999999</v>
      </c>
      <c r="S45" s="13">
        <v>0.15901628394957482</v>
      </c>
      <c r="T45" s="12">
        <v>8.6806059999999992</v>
      </c>
      <c r="U45" s="13">
        <v>7.0860946765462784E-2</v>
      </c>
      <c r="V45" s="12">
        <v>122.501976</v>
      </c>
      <c r="W45" s="12">
        <f>('3-Fiscal Support for HE'!C45/1000000)-V45</f>
        <v>13.892147999999978</v>
      </c>
      <c r="X45" s="12">
        <v>136.39412399999998</v>
      </c>
      <c r="Y45" s="11"/>
      <c r="Z45" s="11"/>
      <c r="AA45" s="11"/>
      <c r="AB45" s="11"/>
      <c r="AC45" s="11"/>
      <c r="AD45" s="11"/>
      <c r="AE45" s="16">
        <v>11689100</v>
      </c>
      <c r="AF45" s="16">
        <v>1060311</v>
      </c>
      <c r="AG45" s="11"/>
      <c r="AH45" s="11"/>
      <c r="AI45" s="11"/>
      <c r="AJ45" s="11"/>
      <c r="AK45" s="11"/>
    </row>
    <row r="46" spans="1:37" ht="12.75" x14ac:dyDescent="0.2">
      <c r="A46" s="11" t="s">
        <v>36</v>
      </c>
      <c r="B46" s="12">
        <v>74.656560999999996</v>
      </c>
      <c r="C46" s="12">
        <v>18.113208</v>
      </c>
      <c r="D46" s="12">
        <v>0.31618099999999999</v>
      </c>
      <c r="E46" s="12">
        <f t="shared" si="0"/>
        <v>93.085949999999997</v>
      </c>
      <c r="F46" s="12">
        <v>0</v>
      </c>
      <c r="G46" s="12">
        <v>0</v>
      </c>
      <c r="H46" s="12">
        <v>0</v>
      </c>
      <c r="I46" s="12">
        <v>0</v>
      </c>
      <c r="J46" s="12">
        <v>82.416047000000006</v>
      </c>
      <c r="K46" s="12">
        <v>1.0892000000000001E-2</v>
      </c>
      <c r="L46" s="12">
        <v>74.656560999999996</v>
      </c>
      <c r="M46" s="13">
        <v>0.42538866950898568</v>
      </c>
      <c r="N46" s="12">
        <v>100.01067999999999</v>
      </c>
      <c r="O46" s="13">
        <v>0.5698549401691424</v>
      </c>
      <c r="P46" s="12">
        <v>0</v>
      </c>
      <c r="Q46" s="13">
        <v>0</v>
      </c>
      <c r="R46" s="12">
        <v>0.83475600000000005</v>
      </c>
      <c r="S46" s="13">
        <v>4.7563903218719502E-3</v>
      </c>
      <c r="T46" s="12">
        <v>0</v>
      </c>
      <c r="U46" s="13">
        <v>0</v>
      </c>
      <c r="V46" s="12">
        <v>175.50199699999999</v>
      </c>
      <c r="W46" s="12">
        <f>('3-Fiscal Support for HE'!C46/1000000)-V46</f>
        <v>1.9517000000007556E-2</v>
      </c>
      <c r="X46" s="12">
        <v>175.521514</v>
      </c>
      <c r="Y46" s="11"/>
      <c r="Z46" s="11"/>
      <c r="AA46" s="11"/>
      <c r="AB46" s="11"/>
      <c r="AC46" s="11"/>
      <c r="AD46" s="11"/>
      <c r="AE46" s="16">
        <v>4217737</v>
      </c>
      <c r="AF46" s="16">
        <v>363022</v>
      </c>
      <c r="AG46" s="11"/>
      <c r="AH46" s="11"/>
      <c r="AI46" s="11"/>
      <c r="AJ46" s="11"/>
      <c r="AK46" s="11"/>
    </row>
    <row r="47" spans="1:37" ht="12.75" x14ac:dyDescent="0.2">
      <c r="A47" s="11" t="s">
        <v>37</v>
      </c>
      <c r="B47" s="12">
        <v>350.34606200000002</v>
      </c>
      <c r="C47" s="12">
        <v>39.172049999999999</v>
      </c>
      <c r="D47" s="12">
        <v>2.3130000000000002</v>
      </c>
      <c r="E47" s="12">
        <f t="shared" si="0"/>
        <v>391.83111200000002</v>
      </c>
      <c r="F47" s="12">
        <v>0</v>
      </c>
      <c r="G47" s="12">
        <v>0</v>
      </c>
      <c r="H47" s="12">
        <v>10.420769999999999</v>
      </c>
      <c r="I47" s="12">
        <v>10.579409</v>
      </c>
      <c r="J47" s="12">
        <v>0.218862</v>
      </c>
      <c r="K47" s="12">
        <v>2.2463489999999999</v>
      </c>
      <c r="L47" s="12">
        <v>352.77262899999999</v>
      </c>
      <c r="M47" s="13">
        <v>0.86805658640488492</v>
      </c>
      <c r="N47" s="12">
        <v>5.1315989999999996</v>
      </c>
      <c r="O47" s="13">
        <v>1.2627165331295362E-2</v>
      </c>
      <c r="P47" s="12">
        <v>2.3130000000000002</v>
      </c>
      <c r="Q47" s="13">
        <v>5.6915268342842404E-3</v>
      </c>
      <c r="R47" s="12">
        <v>46.176358</v>
      </c>
      <c r="S47" s="13">
        <v>0.11362472142953556</v>
      </c>
      <c r="T47" s="12">
        <v>0</v>
      </c>
      <c r="U47" s="13">
        <v>0</v>
      </c>
      <c r="V47" s="12">
        <v>406.39358599999997</v>
      </c>
      <c r="W47" s="12">
        <f>('3-Fiscal Support for HE'!C47/1000000)-V47</f>
        <v>9.8219700000000785</v>
      </c>
      <c r="X47" s="12">
        <v>416.21555600000005</v>
      </c>
      <c r="Y47" s="11"/>
      <c r="Z47" s="11"/>
      <c r="AA47" s="11"/>
      <c r="AB47" s="11"/>
      <c r="AC47" s="11"/>
      <c r="AD47" s="11"/>
      <c r="AE47" s="16">
        <v>12801989</v>
      </c>
      <c r="AF47" s="16">
        <v>1142159</v>
      </c>
      <c r="AG47" s="11"/>
      <c r="AH47" s="11"/>
      <c r="AI47" s="11"/>
      <c r="AJ47" s="11"/>
      <c r="AK47" s="11"/>
    </row>
    <row r="48" spans="1:37" ht="12.75" x14ac:dyDescent="0.2">
      <c r="A48" s="11" t="s">
        <v>38</v>
      </c>
      <c r="B48" s="12">
        <v>6.3336119999999996</v>
      </c>
      <c r="C48" s="12">
        <v>0</v>
      </c>
      <c r="D48" s="12">
        <v>0.13734199999999999</v>
      </c>
      <c r="E48" s="12">
        <f t="shared" si="0"/>
        <v>6.4709539999999999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6.3336119999999996</v>
      </c>
      <c r="M48" s="13">
        <v>0.97877561793825141</v>
      </c>
      <c r="N48" s="12">
        <v>0</v>
      </c>
      <c r="O48" s="13">
        <v>0</v>
      </c>
      <c r="P48" s="12">
        <v>0</v>
      </c>
      <c r="Q48" s="13">
        <v>0</v>
      </c>
      <c r="R48" s="12">
        <v>0</v>
      </c>
      <c r="S48" s="13">
        <v>0</v>
      </c>
      <c r="T48" s="12">
        <v>0.13734199999999999</v>
      </c>
      <c r="U48" s="13">
        <v>2.1224382061748544E-2</v>
      </c>
      <c r="V48" s="12">
        <v>6.4709539999999999</v>
      </c>
      <c r="W48" s="12">
        <f>('3-Fiscal Support for HE'!C48/1000000)-V48</f>
        <v>0.25350499999999876</v>
      </c>
      <c r="X48" s="12">
        <v>6.7244589999999995</v>
      </c>
      <c r="Y48" s="11"/>
      <c r="Z48" s="11"/>
      <c r="AA48" s="11"/>
      <c r="AB48" s="11"/>
      <c r="AC48" s="11"/>
      <c r="AD48" s="11"/>
      <c r="AE48" s="16">
        <v>3193694</v>
      </c>
      <c r="AG48" s="11"/>
      <c r="AH48" s="11"/>
      <c r="AI48" s="11"/>
      <c r="AJ48" s="11"/>
      <c r="AK48" s="11"/>
    </row>
    <row r="49" spans="1:37" ht="12.75" x14ac:dyDescent="0.2">
      <c r="A49" s="11" t="s">
        <v>39</v>
      </c>
      <c r="B49" s="12">
        <v>10.53</v>
      </c>
      <c r="C49" s="12">
        <v>0</v>
      </c>
      <c r="D49" s="12">
        <v>0</v>
      </c>
      <c r="E49" s="12">
        <f t="shared" si="0"/>
        <v>10.53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10.53</v>
      </c>
      <c r="M49" s="13">
        <v>1</v>
      </c>
      <c r="N49" s="12">
        <v>0</v>
      </c>
      <c r="O49" s="13">
        <v>0</v>
      </c>
      <c r="P49" s="12">
        <v>0</v>
      </c>
      <c r="Q49" s="13">
        <v>0</v>
      </c>
      <c r="R49" s="12">
        <v>0</v>
      </c>
      <c r="S49" s="13">
        <v>0</v>
      </c>
      <c r="T49" s="12">
        <v>0</v>
      </c>
      <c r="U49" s="13">
        <v>0</v>
      </c>
      <c r="V49" s="12">
        <v>10.53</v>
      </c>
      <c r="W49" s="12">
        <f>('3-Fiscal Support for HE'!C49/1000000)-V49</f>
        <v>0</v>
      </c>
      <c r="X49" s="12">
        <v>10.53</v>
      </c>
      <c r="Y49" s="11"/>
      <c r="Z49" s="11"/>
      <c r="AA49" s="11"/>
      <c r="AB49" s="11"/>
      <c r="AC49" s="11"/>
      <c r="AD49" s="11"/>
      <c r="AE49" s="16">
        <v>1059361</v>
      </c>
      <c r="AF49" s="16">
        <v>109551</v>
      </c>
      <c r="AG49" s="11"/>
      <c r="AH49" s="11"/>
      <c r="AI49" s="11"/>
      <c r="AJ49" s="11"/>
      <c r="AK49" s="11"/>
    </row>
    <row r="50" spans="1:37" ht="12.75" x14ac:dyDescent="0.2">
      <c r="A50" s="11" t="s">
        <v>40</v>
      </c>
      <c r="B50" s="12">
        <v>0.20329</v>
      </c>
      <c r="C50" s="12">
        <v>0</v>
      </c>
      <c r="D50" s="12">
        <v>6.2028499999999998</v>
      </c>
      <c r="E50" s="12">
        <f t="shared" si="0"/>
        <v>6.4061399999999997</v>
      </c>
      <c r="F50" s="12">
        <v>0</v>
      </c>
      <c r="G50" s="12">
        <v>0.65065700000000004</v>
      </c>
      <c r="H50" s="12">
        <v>0</v>
      </c>
      <c r="I50" s="12">
        <v>0</v>
      </c>
      <c r="J50" s="12">
        <v>0</v>
      </c>
      <c r="K50" s="12">
        <v>0</v>
      </c>
      <c r="L50" s="12">
        <v>0.20329</v>
      </c>
      <c r="M50" s="13">
        <v>3.1733618060173524E-2</v>
      </c>
      <c r="N50" s="12">
        <v>0</v>
      </c>
      <c r="O50" s="13">
        <v>0</v>
      </c>
      <c r="P50" s="12">
        <v>6.1998499999999996</v>
      </c>
      <c r="Q50" s="13">
        <v>0.96779808121583355</v>
      </c>
      <c r="R50" s="12">
        <v>3.0000000000000001E-3</v>
      </c>
      <c r="S50" s="13">
        <v>4.6830072399291933E-4</v>
      </c>
      <c r="T50" s="12">
        <v>0</v>
      </c>
      <c r="U50" s="13">
        <v>0</v>
      </c>
      <c r="V50" s="12">
        <v>6.4061399999999997</v>
      </c>
      <c r="W50" s="12">
        <f>('3-Fiscal Support for HE'!C50/1000000)-V50</f>
        <v>0.65065700000000071</v>
      </c>
      <c r="X50" s="12">
        <v>7.0567969999999995</v>
      </c>
      <c r="Y50" s="11"/>
      <c r="Z50" s="11"/>
      <c r="AA50" s="11"/>
      <c r="AB50" s="11"/>
      <c r="AC50" s="11"/>
      <c r="AD50" s="11"/>
      <c r="AE50" s="16">
        <v>884659</v>
      </c>
      <c r="AF50" s="16">
        <v>82396</v>
      </c>
      <c r="AG50" s="11"/>
      <c r="AH50" s="11"/>
      <c r="AI50" s="11"/>
      <c r="AJ50" s="11"/>
      <c r="AK50" s="11"/>
    </row>
    <row r="51" spans="1:37" ht="12.75" x14ac:dyDescent="0.2">
      <c r="A51" s="11" t="s">
        <v>43</v>
      </c>
      <c r="B51" s="12">
        <v>2.080368</v>
      </c>
      <c r="C51" s="12">
        <v>0</v>
      </c>
      <c r="D51" s="12">
        <v>16.377385</v>
      </c>
      <c r="E51" s="12">
        <f t="shared" si="0"/>
        <v>18.457753</v>
      </c>
      <c r="F51" s="12">
        <v>0</v>
      </c>
      <c r="G51" s="12">
        <v>1.756127</v>
      </c>
      <c r="H51" s="12">
        <v>0</v>
      </c>
      <c r="I51" s="12">
        <v>0</v>
      </c>
      <c r="J51" s="12">
        <v>157.88094100000001</v>
      </c>
      <c r="K51" s="12">
        <v>0</v>
      </c>
      <c r="L51" s="12">
        <v>2.080368</v>
      </c>
      <c r="M51" s="13">
        <v>0.11270971065654632</v>
      </c>
      <c r="N51" s="12">
        <v>0</v>
      </c>
      <c r="O51" s="13">
        <v>0</v>
      </c>
      <c r="P51" s="12">
        <v>16.141500000000001</v>
      </c>
      <c r="Q51" s="13">
        <v>0.87451056474750744</v>
      </c>
      <c r="R51" s="12">
        <v>0.23588500000000001</v>
      </c>
      <c r="S51" s="13">
        <v>1.2779724595946214E-2</v>
      </c>
      <c r="T51" s="12">
        <v>0</v>
      </c>
      <c r="U51" s="13">
        <v>0</v>
      </c>
      <c r="V51" s="12">
        <v>18.457753</v>
      </c>
      <c r="W51" s="12">
        <f>('3-Fiscal Support for HE'!C51/1000000)-V51</f>
        <v>160.43048100000001</v>
      </c>
      <c r="X51" s="12">
        <v>178.88823400000001</v>
      </c>
      <c r="Y51" s="11"/>
      <c r="Z51" s="11"/>
      <c r="AA51" s="11"/>
      <c r="AB51" s="11"/>
      <c r="AC51" s="11"/>
      <c r="AD51" s="11"/>
      <c r="AE51" s="16">
        <v>3205958</v>
      </c>
      <c r="AF51" s="16">
        <v>362079</v>
      </c>
      <c r="AG51" s="11"/>
      <c r="AH51" s="11"/>
      <c r="AI51" s="11"/>
      <c r="AJ51" s="11"/>
      <c r="AK51" s="11"/>
    </row>
    <row r="52" spans="1:37" ht="12.75" x14ac:dyDescent="0.2">
      <c r="A52" s="11" t="s">
        <v>44</v>
      </c>
      <c r="B52" s="12">
        <v>14.754731</v>
      </c>
      <c r="C52" s="12">
        <v>2.4427660000000002</v>
      </c>
      <c r="D52" s="12">
        <v>8.2966999999999999E-2</v>
      </c>
      <c r="E52" s="12">
        <f t="shared" si="0"/>
        <v>17.280463999999998</v>
      </c>
      <c r="F52" s="12">
        <v>0</v>
      </c>
      <c r="G52" s="12">
        <v>0</v>
      </c>
      <c r="H52" s="12">
        <v>0.56175600000000003</v>
      </c>
      <c r="I52" s="12">
        <v>0</v>
      </c>
      <c r="J52" s="12">
        <v>0</v>
      </c>
      <c r="K52" s="12">
        <v>0</v>
      </c>
      <c r="L52" s="12">
        <v>16.674968</v>
      </c>
      <c r="M52" s="13">
        <v>0.96496066309330586</v>
      </c>
      <c r="N52" s="12">
        <v>0</v>
      </c>
      <c r="O52" s="13">
        <v>0</v>
      </c>
      <c r="P52" s="12">
        <v>8.2966999999999999E-2</v>
      </c>
      <c r="Q52" s="13">
        <v>4.8012020973510899E-3</v>
      </c>
      <c r="R52" s="12">
        <v>0.52252900000000002</v>
      </c>
      <c r="S52" s="13">
        <v>3.0238134809343085E-2</v>
      </c>
      <c r="T52" s="12">
        <v>0</v>
      </c>
      <c r="U52" s="13">
        <v>0</v>
      </c>
      <c r="V52" s="12">
        <v>17.280463999999998</v>
      </c>
      <c r="W52" s="12">
        <f>('3-Fiscal Support for HE'!C52/1000000)-V52</f>
        <v>4.1730419999999988</v>
      </c>
      <c r="X52" s="12">
        <v>21.453505999999997</v>
      </c>
      <c r="Y52" s="11"/>
      <c r="Z52" s="11"/>
      <c r="AA52" s="11"/>
      <c r="AB52" s="11"/>
      <c r="AC52" s="11"/>
      <c r="AD52" s="11"/>
      <c r="AE52" s="16">
        <v>623989</v>
      </c>
      <c r="AF52" s="16">
        <v>65840</v>
      </c>
      <c r="AG52" s="11"/>
      <c r="AH52" s="11"/>
      <c r="AI52" s="11"/>
      <c r="AJ52" s="11"/>
      <c r="AK52" s="11"/>
    </row>
    <row r="53" spans="1:37" ht="12.75" x14ac:dyDescent="0.2">
      <c r="A53" s="11" t="s">
        <v>46</v>
      </c>
      <c r="B53" s="12">
        <v>323.79677099999998</v>
      </c>
      <c r="C53" s="12">
        <v>49.472439999999999</v>
      </c>
      <c r="D53" s="12">
        <v>12.44476</v>
      </c>
      <c r="E53" s="12">
        <f t="shared" si="0"/>
        <v>385.71397099999996</v>
      </c>
      <c r="F53" s="12">
        <v>0.177175</v>
      </c>
      <c r="G53" s="12">
        <v>4.4872019999999999</v>
      </c>
      <c r="H53" s="12">
        <v>1.2313400000000001</v>
      </c>
      <c r="I53" s="12">
        <v>12.117438999999999</v>
      </c>
      <c r="J53" s="12">
        <v>0</v>
      </c>
      <c r="K53" s="12">
        <v>0</v>
      </c>
      <c r="L53" s="12">
        <v>347.47008599999998</v>
      </c>
      <c r="M53" s="13">
        <v>0.87629603961776104</v>
      </c>
      <c r="N53" s="12">
        <v>0</v>
      </c>
      <c r="O53" s="13">
        <v>0</v>
      </c>
      <c r="P53" s="12">
        <v>0</v>
      </c>
      <c r="Q53" s="13">
        <v>0</v>
      </c>
      <c r="R53" s="12">
        <v>49.051260999999997</v>
      </c>
      <c r="S53" s="13">
        <v>0.12370396038223888</v>
      </c>
      <c r="T53" s="12">
        <v>0</v>
      </c>
      <c r="U53" s="13">
        <v>0</v>
      </c>
      <c r="V53" s="12">
        <v>396.52134699999999</v>
      </c>
      <c r="W53" s="12">
        <f>('3-Fiscal Support for HE'!C53/1000000)-V53</f>
        <v>7.2084139999999479</v>
      </c>
      <c r="X53" s="12">
        <v>403.72976099999994</v>
      </c>
      <c r="Y53" s="11"/>
      <c r="Z53" s="11"/>
      <c r="AA53" s="11"/>
      <c r="AB53" s="11"/>
      <c r="AC53" s="11"/>
      <c r="AD53" s="11"/>
      <c r="AE53" s="16">
        <v>7614893</v>
      </c>
      <c r="AF53" s="16">
        <v>658508</v>
      </c>
      <c r="AG53" s="11"/>
      <c r="AH53" s="11"/>
      <c r="AI53" s="11"/>
      <c r="AJ53" s="11"/>
      <c r="AK53" s="11"/>
    </row>
    <row r="54" spans="1:37" ht="12.75" x14ac:dyDescent="0.2">
      <c r="A54" s="11" t="s">
        <v>47</v>
      </c>
      <c r="B54" s="12">
        <v>0.83176799999999995</v>
      </c>
      <c r="C54" s="12">
        <v>0</v>
      </c>
      <c r="D54" s="12">
        <v>31.574945</v>
      </c>
      <c r="E54" s="12">
        <f t="shared" si="0"/>
        <v>32.406712999999996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0.83176799999999995</v>
      </c>
      <c r="M54" s="13">
        <v>2.5666533967823275E-2</v>
      </c>
      <c r="N54" s="12">
        <v>0</v>
      </c>
      <c r="O54" s="13">
        <v>0</v>
      </c>
      <c r="P54" s="12">
        <v>0</v>
      </c>
      <c r="Q54" s="13">
        <v>0</v>
      </c>
      <c r="R54" s="12">
        <v>31.574945</v>
      </c>
      <c r="S54" s="13">
        <v>0.97433346603217685</v>
      </c>
      <c r="T54" s="12">
        <v>0</v>
      </c>
      <c r="U54" s="13">
        <v>0</v>
      </c>
      <c r="V54" s="12">
        <v>32.406712999999996</v>
      </c>
      <c r="W54" s="12">
        <f>('3-Fiscal Support for HE'!C54/1000000)-V54</f>
        <v>0</v>
      </c>
      <c r="X54" s="12">
        <v>32.406712999999996</v>
      </c>
      <c r="Y54" s="11"/>
      <c r="Z54" s="11"/>
      <c r="AA54" s="11"/>
      <c r="AB54" s="11"/>
      <c r="AC54" s="11"/>
      <c r="AD54" s="11"/>
      <c r="AE54" s="16">
        <v>705749</v>
      </c>
      <c r="AF54" s="16">
        <v>72566</v>
      </c>
      <c r="AG54" s="11"/>
      <c r="AH54" s="11"/>
      <c r="AI54" s="11"/>
      <c r="AJ54" s="11"/>
      <c r="AK54" s="11"/>
    </row>
    <row r="55" spans="1:37" ht="12.75" x14ac:dyDescent="0.2">
      <c r="A55" s="11" t="s">
        <v>49</v>
      </c>
      <c r="B55" s="12">
        <v>112.45611100000001</v>
      </c>
      <c r="C55" s="12">
        <v>9.8418159999999997</v>
      </c>
      <c r="D55" s="12">
        <v>3.8221810000000001</v>
      </c>
      <c r="E55" s="12">
        <f t="shared" si="0"/>
        <v>126.120108</v>
      </c>
      <c r="F55" s="12">
        <v>0.67225599999999996</v>
      </c>
      <c r="G55" s="12">
        <v>0</v>
      </c>
      <c r="H55" s="12">
        <v>0</v>
      </c>
      <c r="I55" s="12">
        <v>0</v>
      </c>
      <c r="J55" s="12">
        <v>0</v>
      </c>
      <c r="K55" s="12">
        <v>8.2623350000000002</v>
      </c>
      <c r="L55" s="12">
        <v>122.311379</v>
      </c>
      <c r="M55" s="13">
        <v>0.96465887330565114</v>
      </c>
      <c r="N55" s="12">
        <v>0</v>
      </c>
      <c r="O55" s="13">
        <v>0</v>
      </c>
      <c r="P55" s="12">
        <v>3.8221810000000001</v>
      </c>
      <c r="Q55" s="13">
        <v>3.0145198649344528E-2</v>
      </c>
      <c r="R55" s="12">
        <v>0.65880399999999995</v>
      </c>
      <c r="S55" s="13">
        <v>5.1959280450043499E-3</v>
      </c>
      <c r="T55" s="12">
        <v>0</v>
      </c>
      <c r="U55" s="13">
        <v>0</v>
      </c>
      <c r="V55" s="12">
        <v>126.79236400000001</v>
      </c>
      <c r="W55" s="12">
        <f>('3-Fiscal Support for HE'!C55/1000000)-V55</f>
        <v>8.2623349999999931</v>
      </c>
      <c r="X55" s="12">
        <v>135.054699</v>
      </c>
      <c r="Y55" s="11"/>
      <c r="Z55" s="11"/>
      <c r="AA55" s="11"/>
      <c r="AB55" s="11"/>
      <c r="AC55" s="11"/>
      <c r="AD55" s="11"/>
      <c r="AE55" s="16">
        <v>5822434</v>
      </c>
      <c r="AF55" s="16">
        <v>546070</v>
      </c>
      <c r="AG55" s="11"/>
      <c r="AH55" s="11"/>
      <c r="AI55" s="11"/>
      <c r="AJ55" s="11"/>
      <c r="AK55" s="11"/>
    </row>
    <row r="56" spans="1:37" ht="12.75" x14ac:dyDescent="0.2">
      <c r="A56" s="11" t="s">
        <v>50</v>
      </c>
      <c r="B56" s="12">
        <v>0</v>
      </c>
      <c r="C56" s="12">
        <v>0</v>
      </c>
      <c r="D56" s="12">
        <v>0</v>
      </c>
      <c r="E56" s="12">
        <f t="shared" si="0"/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3">
        <v>0</v>
      </c>
      <c r="N56" s="12">
        <v>0</v>
      </c>
      <c r="O56" s="13">
        <v>0</v>
      </c>
      <c r="P56" s="12">
        <v>0</v>
      </c>
      <c r="Q56" s="13">
        <v>0</v>
      </c>
      <c r="R56" s="12">
        <v>0</v>
      </c>
      <c r="S56" s="13">
        <v>0</v>
      </c>
      <c r="T56" s="12">
        <v>0</v>
      </c>
      <c r="U56" s="13">
        <v>0</v>
      </c>
      <c r="V56" s="12">
        <v>0</v>
      </c>
      <c r="W56" s="12">
        <f>('3-Fiscal Support for HE'!C56/1000000)-V56</f>
        <v>18.110071999999999</v>
      </c>
      <c r="X56" s="12">
        <v>18.110071999999999</v>
      </c>
      <c r="Y56" s="11"/>
      <c r="Z56" s="11"/>
      <c r="AA56" s="11"/>
      <c r="AB56" s="11"/>
      <c r="AC56" s="11"/>
      <c r="AD56" s="11"/>
      <c r="AE56" s="16">
        <v>578759</v>
      </c>
      <c r="AF56" s="16">
        <v>52521</v>
      </c>
      <c r="AG56" s="11"/>
      <c r="AH56" s="11"/>
      <c r="AI56" s="11"/>
      <c r="AJ56" s="11"/>
      <c r="AK56" s="11"/>
    </row>
    <row r="57" spans="1:37" ht="12.75" x14ac:dyDescent="0.2">
      <c r="A57" s="42" t="s">
        <v>51</v>
      </c>
      <c r="B57" s="41">
        <v>7159.3146460000007</v>
      </c>
      <c r="C57" s="41">
        <v>1769.4112120000002</v>
      </c>
      <c r="D57" s="41">
        <v>3150.6937339999999</v>
      </c>
      <c r="E57" s="41">
        <f t="shared" si="0"/>
        <v>12079.419592000002</v>
      </c>
      <c r="F57" s="41">
        <v>414.61608200000001</v>
      </c>
      <c r="G57" s="41">
        <v>74.002877000000012</v>
      </c>
      <c r="H57" s="41">
        <v>170.67733199999998</v>
      </c>
      <c r="I57" s="41">
        <v>71.774955000000006</v>
      </c>
      <c r="J57" s="41">
        <v>814.86884400000008</v>
      </c>
      <c r="K57" s="41">
        <v>258.69168900000005</v>
      </c>
      <c r="L57" s="41">
        <v>5803.3202910000009</v>
      </c>
      <c r="M57" s="50">
        <v>0.44060357055714333</v>
      </c>
      <c r="N57" s="41">
        <v>2921.9491039999994</v>
      </c>
      <c r="O57" s="50">
        <v>0.22184217717661125</v>
      </c>
      <c r="P57" s="41">
        <v>2603.7394880000002</v>
      </c>
      <c r="Q57" s="50">
        <v>0.19768285355412379</v>
      </c>
      <c r="R57" s="41">
        <v>1490.0465340000001</v>
      </c>
      <c r="S57" s="50">
        <v>0.11312831107992619</v>
      </c>
      <c r="T57" s="41">
        <v>352.24113799999998</v>
      </c>
      <c r="U57" s="50">
        <v>2.6743087632195524E-2</v>
      </c>
      <c r="V57" s="41">
        <v>13171.296554999999</v>
      </c>
      <c r="W57" s="41">
        <f>SUM(W18,W21:W56)</f>
        <v>993.63614400000097</v>
      </c>
      <c r="X57" s="41">
        <v>14164.932699000003</v>
      </c>
      <c r="Y57" s="11"/>
      <c r="Z57" s="11"/>
      <c r="AA57" s="11"/>
      <c r="AB57" s="11"/>
      <c r="AC57" s="11"/>
      <c r="AD57" s="11"/>
      <c r="AE57" s="16">
        <f>SUM(AE2:AE56)</f>
        <v>331433217</v>
      </c>
      <c r="AF57" s="16">
        <f>SUM(AF2:AF56)</f>
        <v>30219206</v>
      </c>
      <c r="AG57" s="11"/>
      <c r="AH57" s="11"/>
      <c r="AI57" s="11"/>
      <c r="AJ57" s="11"/>
      <c r="AK57" s="11"/>
    </row>
    <row r="58" spans="1:37" ht="12.75" x14ac:dyDescent="0.2">
      <c r="C58" s="24">
        <f>(SUM(B57+C57))/E57</f>
        <v>0.73916845010610843</v>
      </c>
      <c r="D58" s="24">
        <f>D57/E57</f>
        <v>0.26083154989389157</v>
      </c>
      <c r="E58" s="25">
        <f>E57/X57</f>
        <v>0.85276928939117158</v>
      </c>
      <c r="K58" s="12">
        <f>SUM(F57:K57)</f>
        <v>1804.6317790000001</v>
      </c>
      <c r="P58" s="25">
        <f>P18/P57</f>
        <v>0.91575272103412508</v>
      </c>
      <c r="Y58" s="11"/>
      <c r="Z58" s="11"/>
      <c r="AA58" s="11"/>
      <c r="AB58" s="11"/>
      <c r="AC58" s="11"/>
      <c r="AD58" s="11"/>
      <c r="AG58" s="11"/>
      <c r="AH58" s="11"/>
      <c r="AI58" s="11"/>
      <c r="AJ58" s="11"/>
      <c r="AK58" s="11"/>
    </row>
    <row r="59" spans="1:37" ht="12.75" x14ac:dyDescent="0.2">
      <c r="C59" s="12">
        <f>B57+C57</f>
        <v>8928.7258580000016</v>
      </c>
      <c r="Y59" s="11"/>
      <c r="Z59" s="11"/>
      <c r="AA59" s="11"/>
      <c r="AB59" s="11"/>
      <c r="AC59" s="11"/>
      <c r="AD59" s="11"/>
      <c r="AG59" s="11"/>
      <c r="AH59" s="11"/>
      <c r="AI59" s="11"/>
      <c r="AJ59" s="11"/>
      <c r="AK59" s="11"/>
    </row>
    <row r="60" spans="1:37" ht="12.75" x14ac:dyDescent="0.2">
      <c r="Y60" s="11"/>
      <c r="Z60" s="11"/>
      <c r="AA60" s="11"/>
      <c r="AB60" s="11"/>
      <c r="AC60" s="11"/>
      <c r="AD60" s="11"/>
      <c r="AG60" s="11"/>
      <c r="AH60" s="11"/>
      <c r="AI60" s="11"/>
      <c r="AJ60" s="11"/>
      <c r="AK60" s="11"/>
    </row>
    <row r="61" spans="1:37" ht="12.75" x14ac:dyDescent="0.2">
      <c r="Y61" s="11"/>
      <c r="Z61" s="11"/>
      <c r="AA61" s="11"/>
      <c r="AB61" s="11"/>
      <c r="AC61" s="11"/>
      <c r="AD61" s="11"/>
      <c r="AG61" s="11"/>
      <c r="AH61" s="11"/>
      <c r="AI61" s="11"/>
      <c r="AJ61" s="11"/>
      <c r="AK61" s="11"/>
    </row>
    <row r="62" spans="1:37" ht="12.75" x14ac:dyDescent="0.2">
      <c r="Y62" s="11"/>
      <c r="Z62" s="11"/>
      <c r="AA62" s="11"/>
      <c r="AB62" s="11"/>
      <c r="AC62" s="11"/>
      <c r="AD62" s="11"/>
      <c r="AG62" s="11"/>
      <c r="AH62" s="11"/>
      <c r="AI62" s="11"/>
      <c r="AJ62" s="11"/>
      <c r="AK62" s="11"/>
    </row>
    <row r="63" spans="1:37" ht="12.75" x14ac:dyDescent="0.2">
      <c r="Y63" s="11"/>
      <c r="Z63" s="11"/>
      <c r="AA63" s="11"/>
      <c r="AB63" s="11"/>
      <c r="AC63" s="11"/>
      <c r="AD63" s="11"/>
      <c r="AG63" s="11"/>
      <c r="AH63" s="11"/>
      <c r="AI63" s="11"/>
      <c r="AJ63" s="11"/>
      <c r="AK63" s="11"/>
    </row>
    <row r="64" spans="1:37" ht="12.75" x14ac:dyDescent="0.2">
      <c r="Y64" s="11"/>
      <c r="Z64" s="11"/>
      <c r="AA64" s="11"/>
      <c r="AB64" s="11"/>
      <c r="AC64" s="11"/>
      <c r="AD64" s="11"/>
      <c r="AG64" s="11"/>
      <c r="AH64" s="11"/>
      <c r="AI64" s="11"/>
      <c r="AJ64" s="11"/>
      <c r="AK64" s="11"/>
    </row>
    <row r="65" spans="31:32" s="11" customFormat="1" ht="12.75" x14ac:dyDescent="0.2">
      <c r="AE65" s="23"/>
      <c r="AF65" s="23"/>
    </row>
    <row r="66" spans="31:32" s="11" customFormat="1" ht="12.75" x14ac:dyDescent="0.2">
      <c r="AE66" s="23"/>
      <c r="AF66" s="23"/>
    </row>
    <row r="67" spans="31:32" s="11" customFormat="1" ht="12.75" x14ac:dyDescent="0.2">
      <c r="AE67" s="23"/>
      <c r="AF67" s="23"/>
    </row>
    <row r="68" spans="31:32" s="11" customFormat="1" ht="12.75" x14ac:dyDescent="0.2">
      <c r="AE68" s="23"/>
      <c r="AF68" s="23"/>
    </row>
    <row r="69" spans="31:32" s="11" customFormat="1" ht="12.75" x14ac:dyDescent="0.2">
      <c r="AE69" s="23"/>
      <c r="AF69" s="23"/>
    </row>
    <row r="70" spans="31:32" s="11" customFormat="1" ht="12.75" x14ac:dyDescent="0.2">
      <c r="AE70" s="23"/>
      <c r="AF70" s="23"/>
    </row>
    <row r="71" spans="31:32" s="11" customFormat="1" ht="12.75" x14ac:dyDescent="0.2">
      <c r="AE71" s="23"/>
      <c r="AF71" s="23"/>
    </row>
    <row r="72" spans="31:32" s="11" customFormat="1" ht="12.75" x14ac:dyDescent="0.2">
      <c r="AE72" s="23"/>
      <c r="AF72" s="23"/>
    </row>
    <row r="73" spans="31:32" s="11" customFormat="1" ht="12.75" x14ac:dyDescent="0.2">
      <c r="AE73" s="23"/>
      <c r="AF73" s="23"/>
    </row>
    <row r="74" spans="31:32" s="11" customFormat="1" ht="12.75" x14ac:dyDescent="0.2">
      <c r="AE74" s="23"/>
      <c r="AF74" s="23"/>
    </row>
    <row r="75" spans="31:32" s="11" customFormat="1" ht="12.75" x14ac:dyDescent="0.2">
      <c r="AE75" s="23"/>
      <c r="AF75" s="23"/>
    </row>
    <row r="76" spans="31:32" s="11" customFormat="1" ht="12.75" x14ac:dyDescent="0.2">
      <c r="AE76" s="23"/>
      <c r="AF76" s="23"/>
    </row>
    <row r="77" spans="31:32" s="11" customFormat="1" ht="12.75" x14ac:dyDescent="0.2">
      <c r="AE77" s="23"/>
      <c r="AF77" s="23"/>
    </row>
    <row r="78" spans="31:32" s="11" customFormat="1" ht="12.75" x14ac:dyDescent="0.2">
      <c r="AE78" s="23"/>
      <c r="AF78" s="23"/>
    </row>
    <row r="79" spans="31:32" s="11" customFormat="1" ht="12.75" x14ac:dyDescent="0.2">
      <c r="AE79" s="23"/>
      <c r="AF79" s="23"/>
    </row>
    <row r="80" spans="31:32" s="11" customFormat="1" ht="12.75" x14ac:dyDescent="0.2">
      <c r="AE80" s="23"/>
      <c r="AF80" s="23"/>
    </row>
    <row r="81" spans="31:37" s="11" customFormat="1" ht="12.75" x14ac:dyDescent="0.2">
      <c r="AE81" s="23"/>
      <c r="AF81" s="23"/>
    </row>
    <row r="82" spans="31:37" s="11" customFormat="1" ht="12.75" x14ac:dyDescent="0.2">
      <c r="AE82" s="23"/>
      <c r="AF82" s="23"/>
    </row>
    <row r="83" spans="31:37" s="11" customFormat="1" ht="12.75" x14ac:dyDescent="0.2">
      <c r="AE83" s="23"/>
      <c r="AF83" s="23"/>
    </row>
    <row r="84" spans="31:37" s="11" customFormat="1" ht="12.75" x14ac:dyDescent="0.2">
      <c r="AE84" s="23"/>
      <c r="AF84" s="23"/>
    </row>
    <row r="85" spans="31:37" s="11" customFormat="1" ht="12.75" x14ac:dyDescent="0.2">
      <c r="AE85" s="23"/>
      <c r="AF85" s="23"/>
    </row>
    <row r="86" spans="31:37" s="11" customFormat="1" ht="12.75" x14ac:dyDescent="0.2">
      <c r="AE86" s="23"/>
      <c r="AF86" s="23"/>
    </row>
    <row r="87" spans="31:37" s="11" customFormat="1" ht="12.75" x14ac:dyDescent="0.2">
      <c r="AE87" s="23"/>
      <c r="AF87" s="23"/>
    </row>
    <row r="88" spans="31:37" s="11" customFormat="1" ht="12.75" x14ac:dyDescent="0.2">
      <c r="AE88" s="23"/>
      <c r="AF88" s="23"/>
    </row>
    <row r="89" spans="31:37" s="11" customFormat="1" ht="12.75" x14ac:dyDescent="0.2">
      <c r="AE89" s="23"/>
      <c r="AF89" s="23"/>
    </row>
    <row r="90" spans="31:37" s="11" customFormat="1" ht="12.75" x14ac:dyDescent="0.2">
      <c r="AE90" s="23"/>
      <c r="AF90" s="23"/>
    </row>
    <row r="91" spans="31:37" s="11" customFormat="1" ht="12.75" x14ac:dyDescent="0.2">
      <c r="AE91" s="23"/>
      <c r="AF91" s="23"/>
    </row>
    <row r="92" spans="31:37" s="11" customFormat="1" ht="12.75" x14ac:dyDescent="0.2">
      <c r="AE92" s="23"/>
      <c r="AF92" s="23"/>
    </row>
    <row r="93" spans="31:37" s="11" customFormat="1" x14ac:dyDescent="0.25">
      <c r="AE93" s="23"/>
      <c r="AF93" s="23"/>
      <c r="AG93"/>
      <c r="AH93"/>
      <c r="AI93"/>
      <c r="AJ93"/>
      <c r="AK9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4778A-6CDD-4306-813C-E56DCF460C45}">
  <dimension ref="A1:I57"/>
  <sheetViews>
    <sheetView topLeftCell="A10" workbookViewId="0">
      <selection activeCell="A57" sqref="A57:XFD57"/>
    </sheetView>
  </sheetViews>
  <sheetFormatPr defaultRowHeight="15" x14ac:dyDescent="0.25"/>
  <cols>
    <col min="1" max="1" width="15.42578125" style="11" customWidth="1"/>
    <col min="2" max="2" width="18.140625" style="14" bestFit="1" customWidth="1"/>
    <col min="3" max="3" width="16.7109375" style="14" customWidth="1"/>
    <col min="4" max="4" width="9.28515625" style="15" bestFit="1" customWidth="1"/>
    <col min="5" max="5" width="11.140625" style="23" customWidth="1"/>
    <col min="6" max="6" width="11.140625" style="26" customWidth="1"/>
    <col min="7" max="8" width="11.28515625" style="11" customWidth="1"/>
    <col min="9" max="9" width="10.42578125" style="11" customWidth="1"/>
  </cols>
  <sheetData>
    <row r="1" spans="1:9" ht="77.25" x14ac:dyDescent="0.25">
      <c r="A1" s="6" t="s">
        <v>104</v>
      </c>
      <c r="B1" s="8" t="s">
        <v>107</v>
      </c>
      <c r="C1" s="8" t="s">
        <v>128</v>
      </c>
      <c r="D1" s="9" t="s">
        <v>141</v>
      </c>
      <c r="E1" s="6" t="s">
        <v>142</v>
      </c>
      <c r="F1" s="7" t="s">
        <v>150</v>
      </c>
      <c r="G1" s="6" t="s">
        <v>108</v>
      </c>
      <c r="H1" s="6" t="s">
        <v>151</v>
      </c>
      <c r="I1" s="6" t="s">
        <v>109</v>
      </c>
    </row>
    <row r="2" spans="1:9" x14ac:dyDescent="0.25">
      <c r="A2" s="11" t="s">
        <v>0</v>
      </c>
      <c r="B2" s="14">
        <v>1657194944</v>
      </c>
      <c r="C2" s="14">
        <f>'2-All Aid'!X2*1000000</f>
        <v>80318002</v>
      </c>
      <c r="D2" s="15">
        <f t="shared" ref="D2:D18" si="0">C2/B2</f>
        <v>4.84662364502121E-2</v>
      </c>
      <c r="E2" s="16">
        <v>206601</v>
      </c>
      <c r="F2" s="26">
        <f>'2-All Aid'!E2</f>
        <v>77.677981000000003</v>
      </c>
      <c r="G2" s="12">
        <f>(F2*1000000)/E2</f>
        <v>375.98066321072986</v>
      </c>
      <c r="H2" s="12">
        <f>'2-All Aid'!B2+'2-All Aid'!C2</f>
        <v>72.423248999999998</v>
      </c>
      <c r="I2" s="12">
        <f>(H2*1000000)/E2</f>
        <v>350.54645911684844</v>
      </c>
    </row>
    <row r="3" spans="1:9" x14ac:dyDescent="0.25">
      <c r="A3" s="11" t="s">
        <v>3</v>
      </c>
      <c r="B3" s="14">
        <v>996492009</v>
      </c>
      <c r="C3" s="14">
        <f>'2-All Aid'!X3*1000000</f>
        <v>115498132.00000001</v>
      </c>
      <c r="D3" s="15">
        <f t="shared" si="0"/>
        <v>0.11590472473121459</v>
      </c>
      <c r="E3" s="16">
        <v>112097</v>
      </c>
      <c r="F3" s="26">
        <f>'2-All Aid'!E3</f>
        <v>108.92779700000001</v>
      </c>
      <c r="G3" s="12">
        <f>(F3*1000000)/E3</f>
        <v>971.72803018814079</v>
      </c>
      <c r="H3" s="12">
        <f>'2-All Aid'!B3+'2-All Aid'!C3</f>
        <v>1.9511579999999999</v>
      </c>
      <c r="I3" s="12">
        <f t="shared" ref="I3:I18" si="1">(H3*1000000)/E3</f>
        <v>17.405978750546403</v>
      </c>
    </row>
    <row r="4" spans="1:9" x14ac:dyDescent="0.25">
      <c r="A4" s="11" t="s">
        <v>7</v>
      </c>
      <c r="B4" s="14">
        <v>237443800</v>
      </c>
      <c r="C4" s="14">
        <f>'2-All Aid'!X4*1000000</f>
        <v>24223730</v>
      </c>
      <c r="D4" s="15">
        <f t="shared" si="0"/>
        <v>0.1020187934997671</v>
      </c>
      <c r="E4" s="16">
        <v>39925</v>
      </c>
      <c r="F4" s="26">
        <f>'2-All Aid'!E4</f>
        <v>16.980705</v>
      </c>
      <c r="G4" s="12">
        <f t="shared" ref="G4:G18" si="2">(F4*1000000)/E4</f>
        <v>425.31509079524108</v>
      </c>
      <c r="H4" s="12">
        <f>'2-All Aid'!B4+'2-All Aid'!C4</f>
        <v>11.955299</v>
      </c>
      <c r="I4" s="12">
        <f t="shared" si="1"/>
        <v>299.44393237319974</v>
      </c>
    </row>
    <row r="5" spans="1:9" x14ac:dyDescent="0.25">
      <c r="A5" s="11" t="s">
        <v>8</v>
      </c>
      <c r="B5" s="14">
        <v>5347532464</v>
      </c>
      <c r="C5" s="14">
        <f>'2-All Aid'!X5*1000000</f>
        <v>1009818390</v>
      </c>
      <c r="D5" s="15">
        <f t="shared" si="0"/>
        <v>0.18883819720556633</v>
      </c>
      <c r="E5" s="16">
        <v>740660</v>
      </c>
      <c r="F5" s="26">
        <f>'2-All Aid'!E5</f>
        <v>855.32523800000001</v>
      </c>
      <c r="G5" s="12">
        <f t="shared" si="2"/>
        <v>1154.814946129128</v>
      </c>
      <c r="H5" s="12">
        <f>'2-All Aid'!B5+'2-All Aid'!C5</f>
        <v>286.26697999999999</v>
      </c>
      <c r="I5" s="12">
        <f t="shared" si="1"/>
        <v>386.50255177814381</v>
      </c>
    </row>
    <row r="6" spans="1:9" x14ac:dyDescent="0.25">
      <c r="A6" s="11" t="s">
        <v>9</v>
      </c>
      <c r="B6" s="14">
        <v>3635834759</v>
      </c>
      <c r="C6" s="14">
        <f>'2-All Aid'!X6*1000000</f>
        <v>888441848</v>
      </c>
      <c r="D6" s="15">
        <f t="shared" si="0"/>
        <v>0.24435704780058734</v>
      </c>
      <c r="E6" s="16">
        <v>361313</v>
      </c>
      <c r="F6" s="26">
        <f>'2-All Aid'!E6</f>
        <v>855.488518</v>
      </c>
      <c r="G6" s="12">
        <f t="shared" si="2"/>
        <v>2367.7213883807117</v>
      </c>
      <c r="H6" s="12">
        <f>'2-All Aid'!B6+'2-All Aid'!C6</f>
        <v>0</v>
      </c>
      <c r="I6" s="12">
        <f t="shared" si="1"/>
        <v>0</v>
      </c>
    </row>
    <row r="7" spans="1:9" x14ac:dyDescent="0.25">
      <c r="A7" s="11" t="s">
        <v>16</v>
      </c>
      <c r="B7" s="14">
        <v>1144995600</v>
      </c>
      <c r="C7" s="14">
        <f>'2-All Aid'!X7*1000000</f>
        <v>258156830</v>
      </c>
      <c r="D7" s="15">
        <f t="shared" si="0"/>
        <v>0.22546534676639807</v>
      </c>
      <c r="E7" s="16">
        <v>163230</v>
      </c>
      <c r="F7" s="26">
        <f>'2-All Aid'!E7</f>
        <v>256.74000599999999</v>
      </c>
      <c r="G7" s="12">
        <f t="shared" si="2"/>
        <v>1572.872670464988</v>
      </c>
      <c r="H7" s="12">
        <f>'2-All Aid'!B7+'2-All Aid'!C7</f>
        <v>116.80353400000001</v>
      </c>
      <c r="I7" s="12">
        <f t="shared" si="1"/>
        <v>715.57638914415247</v>
      </c>
    </row>
    <row r="8" spans="1:9" x14ac:dyDescent="0.25">
      <c r="A8" s="11" t="s">
        <v>17</v>
      </c>
      <c r="B8" s="14">
        <v>1177144207</v>
      </c>
      <c r="C8" s="14">
        <f>'2-All Aid'!X8*1000000</f>
        <v>331809546</v>
      </c>
      <c r="D8" s="15">
        <f t="shared" si="0"/>
        <v>0.28187671827025351</v>
      </c>
      <c r="E8" s="16">
        <v>174224</v>
      </c>
      <c r="F8" s="26">
        <f>'2-All Aid'!E8</f>
        <v>329.74777700000004</v>
      </c>
      <c r="G8" s="12">
        <f t="shared" si="2"/>
        <v>1892.6656316006984</v>
      </c>
      <c r="H8" s="12">
        <f>'2-All Aid'!B8+'2-All Aid'!C8</f>
        <v>28.413083</v>
      </c>
      <c r="I8" s="12">
        <f t="shared" si="1"/>
        <v>163.08363371292128</v>
      </c>
    </row>
    <row r="9" spans="1:9" x14ac:dyDescent="0.25">
      <c r="A9" s="11" t="s">
        <v>19</v>
      </c>
      <c r="B9" s="14">
        <v>2068342484</v>
      </c>
      <c r="C9" s="14">
        <f>'2-All Aid'!X9*1000000</f>
        <v>108222950.00000001</v>
      </c>
      <c r="D9" s="15">
        <f t="shared" si="0"/>
        <v>5.2323515489903757E-2</v>
      </c>
      <c r="E9" s="16">
        <v>206624</v>
      </c>
      <c r="F9" s="26">
        <f>'2-All Aid'!E9</f>
        <v>98.625411999999997</v>
      </c>
      <c r="G9" s="12">
        <f t="shared" si="2"/>
        <v>477.31827861235865</v>
      </c>
      <c r="H9" s="12">
        <f>'2-All Aid'!B9+'2-All Aid'!C9</f>
        <v>97.952156000000002</v>
      </c>
      <c r="I9" s="12">
        <f t="shared" si="1"/>
        <v>474.05991559547778</v>
      </c>
    </row>
    <row r="10" spans="1:9" s="134" customFormat="1" x14ac:dyDescent="0.25">
      <c r="A10" s="47" t="s">
        <v>23</v>
      </c>
      <c r="B10" s="132">
        <v>904710576</v>
      </c>
      <c r="C10" s="132">
        <f>'2-All Aid'!X10*1000000</f>
        <v>42162495.000000007</v>
      </c>
      <c r="D10" s="133">
        <f t="shared" si="0"/>
        <v>4.660329625681308E-2</v>
      </c>
      <c r="E10" s="48">
        <v>128049</v>
      </c>
      <c r="F10" s="93">
        <f>'2-All Aid'!E10</f>
        <v>41.398954000000003</v>
      </c>
      <c r="G10" s="45">
        <f t="shared" si="2"/>
        <v>323.30556271427344</v>
      </c>
      <c r="H10" s="45">
        <f>'2-All Aid'!B10+'2-All Aid'!C10</f>
        <v>23.921182000000002</v>
      </c>
      <c r="I10" s="45">
        <f t="shared" si="1"/>
        <v>186.812720130575</v>
      </c>
    </row>
    <row r="11" spans="1:9" x14ac:dyDescent="0.25">
      <c r="A11" s="11" t="s">
        <v>32</v>
      </c>
      <c r="B11" s="14">
        <v>4317673723</v>
      </c>
      <c r="C11" s="14">
        <f>'2-All Aid'!X11*1000000</f>
        <v>391505070.00000006</v>
      </c>
      <c r="D11" s="15">
        <f t="shared" si="0"/>
        <v>9.067500119670345E-2</v>
      </c>
      <c r="E11" s="16">
        <v>378627</v>
      </c>
      <c r="F11" s="26">
        <f>'2-All Aid'!E11</f>
        <v>321.29430500000001</v>
      </c>
      <c r="G11" s="12">
        <f t="shared" si="2"/>
        <v>848.57737298185282</v>
      </c>
      <c r="H11" s="12">
        <f>'2-All Aid'!B11+'2-All Aid'!C11</f>
        <v>313.30053400000003</v>
      </c>
      <c r="I11" s="12">
        <f t="shared" si="1"/>
        <v>827.46485063136015</v>
      </c>
    </row>
    <row r="12" spans="1:9" x14ac:dyDescent="0.25">
      <c r="A12" s="11" t="s">
        <v>35</v>
      </c>
      <c r="B12" s="14">
        <v>831716742</v>
      </c>
      <c r="C12" s="14">
        <f>'2-All Aid'!X12*1000000</f>
        <v>108785749</v>
      </c>
      <c r="D12" s="15">
        <f t="shared" si="0"/>
        <v>0.13079663244292369</v>
      </c>
      <c r="E12" s="16">
        <v>146477</v>
      </c>
      <c r="F12" s="26">
        <f>'2-All Aid'!E12</f>
        <v>94.821967000000001</v>
      </c>
      <c r="G12" s="12">
        <f t="shared" si="2"/>
        <v>647.3505533291916</v>
      </c>
      <c r="H12" s="12">
        <f>'2-All Aid'!B12+'2-All Aid'!C12</f>
        <v>88.209877000000006</v>
      </c>
      <c r="I12" s="12">
        <f t="shared" si="1"/>
        <v>602.20974624002406</v>
      </c>
    </row>
    <row r="13" spans="1:9" x14ac:dyDescent="0.25">
      <c r="A13" s="11" t="s">
        <v>112</v>
      </c>
      <c r="B13" s="14">
        <v>1174842762</v>
      </c>
      <c r="C13" s="14">
        <f>'2-All Aid'!X13*1000000</f>
        <v>421260185</v>
      </c>
      <c r="D13" s="15">
        <f t="shared" si="0"/>
        <v>0.35856728970510521</v>
      </c>
      <c r="E13" s="16">
        <v>176617</v>
      </c>
      <c r="F13" s="26">
        <f>'2-All Aid'!E13</f>
        <v>415.58432099999999</v>
      </c>
      <c r="G13" s="12">
        <f t="shared" si="2"/>
        <v>2353.0255921004209</v>
      </c>
      <c r="H13" s="12">
        <f>'2-All Aid'!B13+'2-All Aid'!C13</f>
        <v>71.620120999999997</v>
      </c>
      <c r="I13" s="12">
        <f t="shared" si="1"/>
        <v>405.51091344547808</v>
      </c>
    </row>
    <row r="14" spans="1:9" x14ac:dyDescent="0.25">
      <c r="A14" s="11" t="s">
        <v>41</v>
      </c>
      <c r="B14" s="14">
        <v>1924836726</v>
      </c>
      <c r="C14" s="14">
        <f>'2-All Aid'!X14*1000000</f>
        <v>454312675.99999994</v>
      </c>
      <c r="D14" s="15">
        <f t="shared" si="0"/>
        <v>0.23602660415987925</v>
      </c>
      <c r="E14" s="16">
        <v>237104</v>
      </c>
      <c r="F14" s="26">
        <f>'2-All Aid'!E14</f>
        <v>424.50352899999996</v>
      </c>
      <c r="G14" s="12">
        <f t="shared" si="2"/>
        <v>1790.368483872056</v>
      </c>
      <c r="H14" s="12">
        <f>'2-All Aid'!B14+'2-All Aid'!C14</f>
        <v>110.02351899999999</v>
      </c>
      <c r="I14" s="12">
        <f t="shared" si="1"/>
        <v>464.03063212767393</v>
      </c>
    </row>
    <row r="15" spans="1:9" x14ac:dyDescent="0.25">
      <c r="A15" s="11" t="s">
        <v>42</v>
      </c>
      <c r="B15" s="14">
        <v>7577802811</v>
      </c>
      <c r="C15" s="14">
        <f>'2-All Aid'!X15*1000000</f>
        <v>1202613101.0000002</v>
      </c>
      <c r="D15" s="15">
        <f t="shared" si="0"/>
        <v>0.15870208436332986</v>
      </c>
      <c r="E15" s="16">
        <v>1021647</v>
      </c>
      <c r="F15" s="26">
        <f>'2-All Aid'!E15</f>
        <v>938.41644399999996</v>
      </c>
      <c r="G15" s="12">
        <f t="shared" si="2"/>
        <v>918.53296099337638</v>
      </c>
      <c r="H15" s="12">
        <f>'2-All Aid'!B15+'2-All Aid'!C15</f>
        <v>938.41644399999996</v>
      </c>
      <c r="I15" s="12">
        <f t="shared" si="1"/>
        <v>918.53296099337638</v>
      </c>
    </row>
    <row r="16" spans="1:9" x14ac:dyDescent="0.25">
      <c r="A16" s="11" t="s">
        <v>45</v>
      </c>
      <c r="B16" s="14">
        <v>2120468204</v>
      </c>
      <c r="C16" s="14">
        <f>'2-All Aid'!X16*1000000</f>
        <v>844016277</v>
      </c>
      <c r="D16" s="15">
        <f t="shared" si="0"/>
        <v>0.39803297941835114</v>
      </c>
      <c r="E16" s="16">
        <v>349288</v>
      </c>
      <c r="F16" s="26">
        <f>'2-All Aid'!E16</f>
        <v>482.19715099999996</v>
      </c>
      <c r="G16" s="12">
        <f t="shared" si="2"/>
        <v>1380.5145066535349</v>
      </c>
      <c r="H16" s="12">
        <f>'2-All Aid'!B16+'2-All Aid'!C16</f>
        <v>414.32070799999997</v>
      </c>
      <c r="I16" s="12">
        <f t="shared" si="1"/>
        <v>1186.186493667117</v>
      </c>
    </row>
    <row r="17" spans="1:9" x14ac:dyDescent="0.25">
      <c r="A17" s="11" t="s">
        <v>48</v>
      </c>
      <c r="B17" s="14">
        <v>491888995</v>
      </c>
      <c r="C17" s="14">
        <f>'2-All Aid'!X17*1000000</f>
        <v>123497178</v>
      </c>
      <c r="D17" s="15">
        <f t="shared" si="0"/>
        <v>0.25106717014475999</v>
      </c>
      <c r="E17" s="16">
        <v>85269</v>
      </c>
      <c r="F17" s="26">
        <f>'2-All Aid'!E17</f>
        <v>88.869775000000004</v>
      </c>
      <c r="G17" s="12">
        <f t="shared" si="2"/>
        <v>1042.2284182997337</v>
      </c>
      <c r="H17" s="12">
        <f>'2-All Aid'!B17+'2-All Aid'!C17</f>
        <v>41.415573999999999</v>
      </c>
      <c r="I17" s="12">
        <f t="shared" si="1"/>
        <v>485.70493379774598</v>
      </c>
    </row>
    <row r="18" spans="1:9" s="1" customFormat="1" x14ac:dyDescent="0.25">
      <c r="A18" s="42" t="s">
        <v>148</v>
      </c>
      <c r="B18" s="130">
        <f>SUM(B2:B17)</f>
        <v>35608920806</v>
      </c>
      <c r="C18" s="130">
        <f>SUM(C2:C17)</f>
        <v>6404642159</v>
      </c>
      <c r="D18" s="131">
        <f t="shared" si="0"/>
        <v>0.17986060835409637</v>
      </c>
      <c r="E18" s="51">
        <f>SUM(E2:E17)</f>
        <v>4527752</v>
      </c>
      <c r="F18" s="96">
        <f>'2-All Aid'!E18</f>
        <v>5406.5998799999998</v>
      </c>
      <c r="G18" s="41">
        <f t="shared" si="2"/>
        <v>1194.1024773441654</v>
      </c>
      <c r="H18" s="41">
        <f>'2-All Aid'!B18+'2-All Aid'!C18</f>
        <v>2616.993418</v>
      </c>
      <c r="I18" s="41">
        <f t="shared" si="1"/>
        <v>577.98956700808696</v>
      </c>
    </row>
    <row r="19" spans="1:9" s="1" customFormat="1" x14ac:dyDescent="0.25">
      <c r="A19" s="11"/>
      <c r="B19" s="14"/>
      <c r="C19" s="14"/>
      <c r="D19" s="15"/>
      <c r="E19" s="16"/>
      <c r="F19" s="26"/>
      <c r="G19" s="12"/>
      <c r="H19" s="12"/>
      <c r="I19" s="12"/>
    </row>
    <row r="20" spans="1:9" x14ac:dyDescent="0.25">
      <c r="E20" s="16"/>
      <c r="G20" s="12"/>
      <c r="H20" s="12"/>
      <c r="I20" s="12"/>
    </row>
    <row r="21" spans="1:9" x14ac:dyDescent="0.25">
      <c r="A21" s="11" t="s">
        <v>1</v>
      </c>
      <c r="B21" s="14">
        <v>351749317</v>
      </c>
      <c r="C21" s="14">
        <f>'2-All Aid'!X21*1000000</f>
        <v>27274224</v>
      </c>
      <c r="D21" s="15">
        <f t="shared" ref="D21:D47" si="3">C21/B21</f>
        <v>7.7538811539469177E-2</v>
      </c>
      <c r="E21" s="16">
        <v>16240</v>
      </c>
      <c r="F21" s="26">
        <f>'2-All Aid'!E21</f>
        <v>15.936924000000001</v>
      </c>
      <c r="G21" s="12">
        <f t="shared" ref="G21:G57" si="4">(F21*1000000)/E21</f>
        <v>981.33768472906411</v>
      </c>
      <c r="H21" s="12">
        <f>'2-All Aid'!B21+'2-All Aid'!C21</f>
        <v>5.8504019999999999</v>
      </c>
      <c r="I21" s="12">
        <f t="shared" ref="I21:I57" si="5">(H21*1000000)/E21</f>
        <v>360.24642857142857</v>
      </c>
    </row>
    <row r="22" spans="1:9" x14ac:dyDescent="0.25">
      <c r="A22" s="11" t="s">
        <v>2</v>
      </c>
      <c r="B22" s="14">
        <v>905479000</v>
      </c>
      <c r="C22" s="14">
        <f>'2-All Aid'!X22*1000000</f>
        <v>28638668</v>
      </c>
      <c r="D22" s="15">
        <f t="shared" si="3"/>
        <v>3.162819678866103E-2</v>
      </c>
      <c r="E22" s="16">
        <v>355600</v>
      </c>
      <c r="F22" s="26">
        <f>'2-All Aid'!E22</f>
        <v>28.227042999999998</v>
      </c>
      <c r="G22" s="12">
        <f t="shared" si="4"/>
        <v>79.378636107986495</v>
      </c>
      <c r="H22" s="12">
        <f>'2-All Aid'!B22+'2-All Aid'!C22</f>
        <v>28.227042999999998</v>
      </c>
      <c r="I22" s="12">
        <f t="shared" si="5"/>
        <v>79.378636107986495</v>
      </c>
    </row>
    <row r="23" spans="1:9" x14ac:dyDescent="0.25">
      <c r="A23" s="11" t="s">
        <v>4</v>
      </c>
      <c r="B23" s="14">
        <v>15792285000</v>
      </c>
      <c r="C23" s="14">
        <f>'2-All Aid'!X23*1000000</f>
        <v>2231725563.0000005</v>
      </c>
      <c r="D23" s="15">
        <f t="shared" si="3"/>
        <v>0.14131745741670698</v>
      </c>
      <c r="E23" s="16">
        <v>1713652</v>
      </c>
      <c r="F23" s="26">
        <f>'2-All Aid'!E23</f>
        <v>2228.1024230000003</v>
      </c>
      <c r="G23" s="12">
        <f t="shared" si="4"/>
        <v>1300.207056625266</v>
      </c>
      <c r="H23" s="12">
        <f>'2-All Aid'!B23+'2-All Aid'!C23</f>
        <v>2226.9681440000004</v>
      </c>
      <c r="I23" s="12">
        <f t="shared" si="5"/>
        <v>1299.5451491901508</v>
      </c>
    </row>
    <row r="24" spans="1:9" x14ac:dyDescent="0.25">
      <c r="A24" s="11" t="s">
        <v>5</v>
      </c>
      <c r="B24" s="14">
        <v>993825292</v>
      </c>
      <c r="C24" s="14">
        <f>'2-All Aid'!X24*1000000</f>
        <v>185770411.99999997</v>
      </c>
      <c r="D24" s="15">
        <f t="shared" si="3"/>
        <v>0.18692461692753939</v>
      </c>
      <c r="E24" s="16">
        <v>230929</v>
      </c>
      <c r="F24" s="26">
        <f>'2-All Aid'!E24</f>
        <v>138.92624799999999</v>
      </c>
      <c r="G24" s="12">
        <f t="shared" si="4"/>
        <v>601.59723551394586</v>
      </c>
      <c r="H24" s="12">
        <f>'2-All Aid'!B24+'2-All Aid'!C24</f>
        <v>132.747715</v>
      </c>
      <c r="I24" s="12">
        <f t="shared" si="5"/>
        <v>574.84211597503997</v>
      </c>
    </row>
    <row r="25" spans="1:9" x14ac:dyDescent="0.25">
      <c r="A25" s="11" t="s">
        <v>6</v>
      </c>
      <c r="B25" s="14">
        <v>1131758139</v>
      </c>
      <c r="C25" s="14">
        <f>'2-All Aid'!X25*1000000</f>
        <v>148678186</v>
      </c>
      <c r="D25" s="15">
        <f t="shared" si="3"/>
        <v>0.13136922181215258</v>
      </c>
      <c r="E25" s="16">
        <v>133049</v>
      </c>
      <c r="F25" s="26">
        <f>'2-All Aid'!E25</f>
        <v>33.812594000000004</v>
      </c>
      <c r="G25" s="12">
        <f t="shared" si="4"/>
        <v>254.1364008748657</v>
      </c>
      <c r="H25" s="12">
        <f>'2-All Aid'!B25+'2-All Aid'!C25</f>
        <v>33.627594000000002</v>
      </c>
      <c r="I25" s="12">
        <f t="shared" si="5"/>
        <v>252.7459357078971</v>
      </c>
    </row>
    <row r="26" spans="1:9" x14ac:dyDescent="0.25">
      <c r="A26" s="11" t="s">
        <v>10</v>
      </c>
      <c r="B26" s="14">
        <v>777647851</v>
      </c>
      <c r="C26" s="14">
        <f>'2-All Aid'!X26*1000000</f>
        <v>5648001</v>
      </c>
      <c r="D26" s="15">
        <f t="shared" si="3"/>
        <v>7.2629288343522983E-3</v>
      </c>
      <c r="E26" s="16">
        <v>40295</v>
      </c>
      <c r="F26" s="26">
        <f>'2-All Aid'!E26</f>
        <v>4.6354629999999997</v>
      </c>
      <c r="G26" s="12">
        <f t="shared" si="4"/>
        <v>115.03816850725896</v>
      </c>
      <c r="H26" s="12">
        <f>'2-All Aid'!B26+'2-All Aid'!C26</f>
        <v>4.6354629999999997</v>
      </c>
      <c r="I26" s="12">
        <f t="shared" si="5"/>
        <v>115.03816850725896</v>
      </c>
    </row>
    <row r="27" spans="1:9" x14ac:dyDescent="0.25">
      <c r="A27" s="11" t="s">
        <v>11</v>
      </c>
      <c r="B27" s="14">
        <v>502954900</v>
      </c>
      <c r="C27" s="14">
        <f>'2-All Aid'!X27*1000000</f>
        <v>15503735</v>
      </c>
      <c r="D27" s="15">
        <f t="shared" si="3"/>
        <v>3.0825298650038007E-2</v>
      </c>
      <c r="E27" s="16">
        <v>80274</v>
      </c>
      <c r="F27" s="26">
        <f>'2-All Aid'!E27</f>
        <v>14.317735000000001</v>
      </c>
      <c r="G27" s="12">
        <f t="shared" si="4"/>
        <v>178.36080175399258</v>
      </c>
      <c r="H27" s="12">
        <f>'2-All Aid'!B27+'2-All Aid'!C27</f>
        <v>14.018558000000001</v>
      </c>
      <c r="I27" s="12">
        <f t="shared" si="5"/>
        <v>174.63385404987918</v>
      </c>
    </row>
    <row r="28" spans="1:9" x14ac:dyDescent="0.25">
      <c r="A28" s="11" t="s">
        <v>12</v>
      </c>
      <c r="B28" s="14">
        <v>4185362343</v>
      </c>
      <c r="C28" s="14">
        <f>'2-All Aid'!X28*1000000</f>
        <v>397816272.99999994</v>
      </c>
      <c r="D28" s="15">
        <f t="shared" si="3"/>
        <v>9.5049422343407353E-2</v>
      </c>
      <c r="E28" s="16">
        <v>441353</v>
      </c>
      <c r="F28" s="26">
        <f>'2-All Aid'!E28</f>
        <v>393.19275699999997</v>
      </c>
      <c r="G28" s="12">
        <f t="shared" si="4"/>
        <v>890.88044490464551</v>
      </c>
      <c r="H28" s="12">
        <f>'2-All Aid'!B28+'2-All Aid'!C28</f>
        <v>392.33930599999997</v>
      </c>
      <c r="I28" s="12">
        <f t="shared" si="5"/>
        <v>888.94672971521652</v>
      </c>
    </row>
    <row r="29" spans="1:9" x14ac:dyDescent="0.25">
      <c r="A29" s="11" t="s">
        <v>13</v>
      </c>
      <c r="B29" s="14">
        <v>1779141830</v>
      </c>
      <c r="C29" s="14">
        <f>'2-All Aid'!X29*1000000</f>
        <v>372990112</v>
      </c>
      <c r="D29" s="15">
        <f t="shared" si="3"/>
        <v>0.20964608088608652</v>
      </c>
      <c r="E29" s="16">
        <v>266603</v>
      </c>
      <c r="F29" s="26">
        <f>'2-All Aid'!E29</f>
        <v>336.25440200000003</v>
      </c>
      <c r="G29" s="12">
        <f t="shared" si="4"/>
        <v>1261.2551321628039</v>
      </c>
      <c r="H29" s="12">
        <f>'2-All Aid'!B29+'2-All Aid'!C29</f>
        <v>326.64924600000001</v>
      </c>
      <c r="I29" s="12">
        <f t="shared" si="5"/>
        <v>1225.227195492924</v>
      </c>
    </row>
    <row r="30" spans="1:9" x14ac:dyDescent="0.25">
      <c r="A30" s="11" t="s">
        <v>14</v>
      </c>
      <c r="B30" s="14">
        <v>815518230</v>
      </c>
      <c r="C30" s="14">
        <f>'2-All Aid'!X30*1000000</f>
        <v>62554809</v>
      </c>
      <c r="D30" s="15">
        <f t="shared" si="3"/>
        <v>7.6705592467258513E-2</v>
      </c>
      <c r="E30" s="16">
        <v>150613</v>
      </c>
      <c r="F30" s="26">
        <f>'2-All Aid'!E30</f>
        <v>60.604295</v>
      </c>
      <c r="G30" s="12">
        <f t="shared" si="4"/>
        <v>402.38422314142872</v>
      </c>
      <c r="H30" s="12">
        <f>'2-All Aid'!B30+'2-All Aid'!C30</f>
        <v>56.433990000000001</v>
      </c>
      <c r="I30" s="12">
        <f t="shared" si="5"/>
        <v>374.69534502333795</v>
      </c>
    </row>
    <row r="31" spans="1:9" x14ac:dyDescent="0.25">
      <c r="A31" s="11" t="s">
        <v>15</v>
      </c>
      <c r="B31" s="14">
        <v>806027217</v>
      </c>
      <c r="C31" s="14">
        <f>'2-All Aid'!X31*1000000</f>
        <v>22440523</v>
      </c>
      <c r="D31" s="15">
        <f t="shared" si="3"/>
        <v>2.7840899819143453E-2</v>
      </c>
      <c r="E31" s="16">
        <v>137923</v>
      </c>
      <c r="F31" s="26">
        <f>'2-All Aid'!E31</f>
        <v>17.690541</v>
      </c>
      <c r="G31" s="12">
        <f t="shared" si="4"/>
        <v>128.26389362180348</v>
      </c>
      <c r="H31" s="12">
        <f>'2-All Aid'!B31+'2-All Aid'!C31</f>
        <v>17.690541</v>
      </c>
      <c r="I31" s="12">
        <f t="shared" si="5"/>
        <v>128.26389362180348</v>
      </c>
    </row>
    <row r="32" spans="1:9" x14ac:dyDescent="0.25">
      <c r="A32" s="11" t="s">
        <v>18</v>
      </c>
      <c r="B32" s="14">
        <v>307978505</v>
      </c>
      <c r="C32" s="14">
        <f>'2-All Aid'!X32*1000000</f>
        <v>17544790</v>
      </c>
      <c r="D32" s="15">
        <f t="shared" si="3"/>
        <v>5.6967579604297387E-2</v>
      </c>
      <c r="E32" s="16">
        <v>47080</v>
      </c>
      <c r="F32" s="26">
        <f>'2-All Aid'!E32</f>
        <v>14.99779</v>
      </c>
      <c r="G32" s="12">
        <f t="shared" si="4"/>
        <v>318.55968564146133</v>
      </c>
      <c r="H32" s="12">
        <f>'2-All Aid'!B32+'2-All Aid'!C32</f>
        <v>14.99779</v>
      </c>
      <c r="I32" s="12">
        <f t="shared" si="5"/>
        <v>318.55968564146133</v>
      </c>
    </row>
    <row r="33" spans="1:9" x14ac:dyDescent="0.25">
      <c r="A33" s="11" t="s">
        <v>20</v>
      </c>
      <c r="B33" s="14">
        <v>1606272299</v>
      </c>
      <c r="C33" s="14">
        <f>'2-All Aid'!X33*1000000</f>
        <v>145972816.00000003</v>
      </c>
      <c r="D33" s="15">
        <f t="shared" si="3"/>
        <v>9.0876756133363434E-2</v>
      </c>
      <c r="E33" s="16">
        <v>303979</v>
      </c>
      <c r="F33" s="26">
        <f>'2-All Aid'!E33</f>
        <v>102.07942200000001</v>
      </c>
      <c r="G33" s="12">
        <f t="shared" si="4"/>
        <v>335.81076982291546</v>
      </c>
      <c r="H33" s="12">
        <f>'2-All Aid'!B33+'2-All Aid'!C33</f>
        <v>100.10652</v>
      </c>
      <c r="I33" s="12">
        <f t="shared" si="5"/>
        <v>329.32051227222934</v>
      </c>
    </row>
    <row r="34" spans="1:9" x14ac:dyDescent="0.25">
      <c r="A34" s="11" t="s">
        <v>21</v>
      </c>
      <c r="B34" s="14">
        <v>1954421700</v>
      </c>
      <c r="C34" s="14">
        <f>'2-All Aid'!X34*1000000</f>
        <v>121639000</v>
      </c>
      <c r="D34" s="15">
        <f t="shared" si="3"/>
        <v>6.2237847645674423E-2</v>
      </c>
      <c r="E34" s="16">
        <v>355549</v>
      </c>
      <c r="F34" s="26">
        <f>'2-All Aid'!E34</f>
        <v>121.569334</v>
      </c>
      <c r="G34" s="12">
        <f t="shared" si="4"/>
        <v>341.92005602603297</v>
      </c>
      <c r="H34" s="12">
        <f>'2-All Aid'!B34+'2-All Aid'!C34</f>
        <v>120.475168</v>
      </c>
      <c r="I34" s="12">
        <f t="shared" si="5"/>
        <v>338.84265741149602</v>
      </c>
    </row>
    <row r="35" spans="1:9" x14ac:dyDescent="0.25">
      <c r="A35" s="11" t="s">
        <v>22</v>
      </c>
      <c r="B35" s="14">
        <v>1630558000</v>
      </c>
      <c r="C35" s="14">
        <f>'2-All Aid'!X35*1000000</f>
        <v>302407996</v>
      </c>
      <c r="D35" s="15">
        <f t="shared" si="3"/>
        <v>0.18546288816466511</v>
      </c>
      <c r="E35" s="16">
        <v>217500</v>
      </c>
      <c r="F35" s="26">
        <f>'2-All Aid'!E35</f>
        <v>218.14478000000003</v>
      </c>
      <c r="G35" s="12">
        <f t="shared" si="4"/>
        <v>1002.9645057471266</v>
      </c>
      <c r="H35" s="12">
        <f>'2-All Aid'!B35+'2-All Aid'!C35</f>
        <v>216.75797500000002</v>
      </c>
      <c r="I35" s="12">
        <f t="shared" si="5"/>
        <v>996.58839080459779</v>
      </c>
    </row>
    <row r="36" spans="1:9" x14ac:dyDescent="0.25">
      <c r="A36" s="11" t="s">
        <v>24</v>
      </c>
      <c r="B36" s="14">
        <v>998983910</v>
      </c>
      <c r="C36" s="14">
        <f>'2-All Aid'!X36*1000000</f>
        <v>128948642</v>
      </c>
      <c r="D36" s="15">
        <f t="shared" si="3"/>
        <v>0.12907979869265362</v>
      </c>
      <c r="E36" s="16">
        <v>232022</v>
      </c>
      <c r="F36" s="26">
        <f>'2-All Aid'!E36</f>
        <v>128.94544500000001</v>
      </c>
      <c r="G36" s="12">
        <f t="shared" si="4"/>
        <v>555.74663178491699</v>
      </c>
      <c r="H36" s="12">
        <f>'2-All Aid'!B36+'2-All Aid'!C36</f>
        <v>68.345213999999999</v>
      </c>
      <c r="I36" s="12">
        <f t="shared" si="5"/>
        <v>294.56350690882761</v>
      </c>
    </row>
    <row r="37" spans="1:9" x14ac:dyDescent="0.25">
      <c r="A37" s="11" t="s">
        <v>25</v>
      </c>
      <c r="B37" s="14">
        <v>244579818</v>
      </c>
      <c r="C37" s="14">
        <f>'2-All Aid'!X37*1000000</f>
        <v>1273692</v>
      </c>
      <c r="D37" s="15">
        <f t="shared" si="3"/>
        <v>5.2076741671301758E-3</v>
      </c>
      <c r="E37" s="16">
        <v>36756</v>
      </c>
      <c r="F37" s="26">
        <f>'2-All Aid'!E37</f>
        <v>0.45816000000000001</v>
      </c>
      <c r="G37" s="12">
        <f t="shared" si="4"/>
        <v>12.464903689193601</v>
      </c>
      <c r="H37" s="12">
        <f>'2-All Aid'!B37+'2-All Aid'!C37</f>
        <v>0.45816000000000001</v>
      </c>
      <c r="I37" s="12">
        <f t="shared" si="5"/>
        <v>12.464903689193601</v>
      </c>
    </row>
    <row r="38" spans="1:9" x14ac:dyDescent="0.25">
      <c r="A38" s="11" t="s">
        <v>26</v>
      </c>
      <c r="B38" s="14">
        <v>762533014</v>
      </c>
      <c r="C38" s="14">
        <f>'2-All Aid'!X38*1000000</f>
        <v>21149693.999999996</v>
      </c>
      <c r="D38" s="15">
        <f t="shared" si="3"/>
        <v>2.7736102715154042E-2</v>
      </c>
      <c r="E38" s="16">
        <v>85481</v>
      </c>
      <c r="F38" s="26">
        <f>'2-All Aid'!E38</f>
        <v>19.029965999999998</v>
      </c>
      <c r="G38" s="12">
        <f t="shared" si="4"/>
        <v>222.62217334846341</v>
      </c>
      <c r="H38" s="12">
        <f>'2-All Aid'!B38+'2-All Aid'!C38</f>
        <v>18.973680999999999</v>
      </c>
      <c r="I38" s="12">
        <f t="shared" si="5"/>
        <v>221.9637229325815</v>
      </c>
    </row>
    <row r="39" spans="1:9" x14ac:dyDescent="0.25">
      <c r="A39" s="11" t="s">
        <v>27</v>
      </c>
      <c r="B39" s="14">
        <v>655333247</v>
      </c>
      <c r="C39" s="14">
        <f>'2-All Aid'!X39*1000000</f>
        <v>72395205</v>
      </c>
      <c r="D39" s="15">
        <f t="shared" si="3"/>
        <v>0.11047082584534278</v>
      </c>
      <c r="E39" s="16">
        <v>78201</v>
      </c>
      <c r="F39" s="26">
        <f>'2-All Aid'!E39</f>
        <v>51.448375999999996</v>
      </c>
      <c r="G39" s="12">
        <f t="shared" si="4"/>
        <v>657.89920845001973</v>
      </c>
      <c r="H39" s="12">
        <f>'2-All Aid'!B39+'2-All Aid'!C39</f>
        <v>12.713906999999999</v>
      </c>
      <c r="I39" s="12">
        <f t="shared" si="5"/>
        <v>162.57985192005214</v>
      </c>
    </row>
    <row r="40" spans="1:9" x14ac:dyDescent="0.25">
      <c r="A40" s="11" t="s">
        <v>28</v>
      </c>
      <c r="B40" s="14">
        <v>128543198</v>
      </c>
      <c r="C40" s="14">
        <f>'2-All Aid'!X40*1000000</f>
        <v>4910200</v>
      </c>
      <c r="D40" s="15">
        <f t="shared" si="3"/>
        <v>3.8198831804386879E-2</v>
      </c>
      <c r="E40" s="16">
        <v>88717</v>
      </c>
      <c r="F40" s="26">
        <f>'2-All Aid'!E40</f>
        <v>4.9101999999999997</v>
      </c>
      <c r="G40" s="12">
        <f t="shared" si="4"/>
        <v>55.34677682969442</v>
      </c>
      <c r="H40" s="12">
        <f>'2-All Aid'!B40+'2-All Aid'!C40</f>
        <v>3</v>
      </c>
      <c r="I40" s="12">
        <f t="shared" si="5"/>
        <v>33.815390511401425</v>
      </c>
    </row>
    <row r="41" spans="1:9" x14ac:dyDescent="0.25">
      <c r="A41" s="11" t="s">
        <v>29</v>
      </c>
      <c r="B41" s="14">
        <v>2155024000</v>
      </c>
      <c r="C41" s="14">
        <f>'2-All Aid'!X41*1000000</f>
        <v>637003158</v>
      </c>
      <c r="D41" s="15">
        <f t="shared" si="3"/>
        <v>0.2955898208094202</v>
      </c>
      <c r="E41" s="16">
        <v>293120</v>
      </c>
      <c r="F41" s="26">
        <f>'2-All Aid'!E41</f>
        <v>485.595686</v>
      </c>
      <c r="G41" s="12">
        <f t="shared" si="4"/>
        <v>1656.6446711244541</v>
      </c>
      <c r="H41" s="12">
        <f>'2-All Aid'!B41+'2-All Aid'!C41</f>
        <v>478.49363799999998</v>
      </c>
      <c r="I41" s="12">
        <f t="shared" si="5"/>
        <v>1632.4155226528385</v>
      </c>
    </row>
    <row r="42" spans="1:9" x14ac:dyDescent="0.25">
      <c r="A42" s="11" t="s">
        <v>30</v>
      </c>
      <c r="B42" s="14">
        <v>868610800</v>
      </c>
      <c r="C42" s="14">
        <f>'2-All Aid'!X42*1000000</f>
        <v>88795740</v>
      </c>
      <c r="D42" s="15">
        <f t="shared" si="3"/>
        <v>0.10222730364393351</v>
      </c>
      <c r="E42" s="16">
        <v>74381</v>
      </c>
      <c r="F42" s="26">
        <f>'2-All Aid'!E42</f>
        <v>83.501935000000003</v>
      </c>
      <c r="G42" s="12">
        <f t="shared" si="4"/>
        <v>1122.6245277691883</v>
      </c>
      <c r="H42" s="12">
        <f>'2-All Aid'!B42+'2-All Aid'!C42</f>
        <v>23.516318999999999</v>
      </c>
      <c r="I42" s="12">
        <f t="shared" si="5"/>
        <v>316.16029631223029</v>
      </c>
    </row>
    <row r="43" spans="1:9" x14ac:dyDescent="0.25">
      <c r="A43" s="11" t="s">
        <v>31</v>
      </c>
      <c r="B43" s="14">
        <v>6143887569</v>
      </c>
      <c r="C43" s="14">
        <f>'2-All Aid'!X43*1000000</f>
        <v>1155953520</v>
      </c>
      <c r="D43" s="15">
        <f t="shared" si="3"/>
        <v>0.1881469195225112</v>
      </c>
      <c r="E43" s="16">
        <v>854745</v>
      </c>
      <c r="F43" s="26">
        <f>'2-All Aid'!E43</f>
        <v>941.9778</v>
      </c>
      <c r="G43" s="12">
        <f t="shared" si="4"/>
        <v>1102.0571047505396</v>
      </c>
      <c r="H43" s="12">
        <f>'2-All Aid'!B43+'2-All Aid'!C43</f>
        <v>895.61879999999996</v>
      </c>
      <c r="I43" s="12">
        <f t="shared" si="5"/>
        <v>1047.8198761033993</v>
      </c>
    </row>
    <row r="44" spans="1:9" x14ac:dyDescent="0.25">
      <c r="A44" s="11" t="s">
        <v>33</v>
      </c>
      <c r="B44" s="14">
        <v>358491256</v>
      </c>
      <c r="C44" s="14">
        <f>'2-All Aid'!X44*1000000</f>
        <v>21170146</v>
      </c>
      <c r="D44" s="15">
        <f t="shared" si="3"/>
        <v>5.9053451501757129E-2</v>
      </c>
      <c r="E44" s="16">
        <v>37769</v>
      </c>
      <c r="F44" s="26">
        <f>'2-All Aid'!E44</f>
        <v>17.953129000000001</v>
      </c>
      <c r="G44" s="12">
        <f t="shared" si="4"/>
        <v>475.34033201832193</v>
      </c>
      <c r="H44" s="12">
        <f>'2-All Aid'!B44+'2-All Aid'!C44</f>
        <v>9.7141510000000011</v>
      </c>
      <c r="I44" s="12">
        <f t="shared" si="5"/>
        <v>257.19905213270147</v>
      </c>
    </row>
    <row r="45" spans="1:9" x14ac:dyDescent="0.25">
      <c r="A45" s="11" t="s">
        <v>34</v>
      </c>
      <c r="B45" s="14">
        <v>2299505863</v>
      </c>
      <c r="C45" s="14">
        <f>'2-All Aid'!X45*1000000</f>
        <v>136394123.99999997</v>
      </c>
      <c r="D45" s="15">
        <f t="shared" si="3"/>
        <v>5.9314536307403173E-2</v>
      </c>
      <c r="E45" s="16">
        <v>439837</v>
      </c>
      <c r="F45" s="26">
        <f>'2-All Aid'!E45</f>
        <v>122.204099</v>
      </c>
      <c r="G45" s="12">
        <f t="shared" si="4"/>
        <v>277.83951554780521</v>
      </c>
      <c r="H45" s="12">
        <f>'2-All Aid'!B45+'2-All Aid'!C45</f>
        <v>94.341560999999999</v>
      </c>
      <c r="I45" s="12">
        <f t="shared" si="5"/>
        <v>214.49209820910929</v>
      </c>
    </row>
    <row r="46" spans="1:9" x14ac:dyDescent="0.25">
      <c r="A46" s="11" t="s">
        <v>36</v>
      </c>
      <c r="B46" s="14">
        <v>884053435</v>
      </c>
      <c r="C46" s="14">
        <f>'2-All Aid'!X46*1000000</f>
        <v>175521514</v>
      </c>
      <c r="D46" s="15">
        <f t="shared" si="3"/>
        <v>0.19854174764899815</v>
      </c>
      <c r="E46" s="16">
        <v>148812</v>
      </c>
      <c r="F46" s="26">
        <f>'2-All Aid'!E46</f>
        <v>93.085949999999997</v>
      </c>
      <c r="G46" s="12">
        <f t="shared" si="4"/>
        <v>625.52717522780426</v>
      </c>
      <c r="H46" s="12">
        <f>'2-All Aid'!B46+'2-All Aid'!C46</f>
        <v>92.769768999999997</v>
      </c>
      <c r="I46" s="12">
        <f t="shared" si="5"/>
        <v>623.40247426282826</v>
      </c>
    </row>
    <row r="47" spans="1:9" x14ac:dyDescent="0.25">
      <c r="A47" s="11" t="s">
        <v>37</v>
      </c>
      <c r="B47" s="14">
        <v>1756295000</v>
      </c>
      <c r="C47" s="14">
        <f>'2-All Aid'!X47*1000000</f>
        <v>416215556.00000006</v>
      </c>
      <c r="D47" s="15">
        <f t="shared" si="3"/>
        <v>0.23698499170128029</v>
      </c>
      <c r="E47" s="16">
        <v>481747</v>
      </c>
      <c r="F47" s="26">
        <f>'2-All Aid'!E47</f>
        <v>391.83111200000002</v>
      </c>
      <c r="G47" s="12">
        <f t="shared" si="4"/>
        <v>813.35454502051903</v>
      </c>
      <c r="H47" s="12">
        <f>'2-All Aid'!B47+'2-All Aid'!C47</f>
        <v>389.51811200000003</v>
      </c>
      <c r="I47" s="12">
        <f t="shared" si="5"/>
        <v>808.55326966229177</v>
      </c>
    </row>
    <row r="48" spans="1:9" x14ac:dyDescent="0.25">
      <c r="A48" s="11" t="s">
        <v>38</v>
      </c>
      <c r="C48" s="14">
        <f>'2-All Aid'!X48*1000000</f>
        <v>6724458.9999999991</v>
      </c>
      <c r="E48" s="16">
        <v>152429</v>
      </c>
      <c r="F48" s="26">
        <f>'2-All Aid'!E48</f>
        <v>6.4709539999999999</v>
      </c>
      <c r="G48" s="12">
        <f t="shared" si="4"/>
        <v>42.452249899953422</v>
      </c>
      <c r="H48" s="12">
        <f>'2-All Aid'!B48+'2-All Aid'!C48</f>
        <v>6.3336119999999996</v>
      </c>
      <c r="I48" s="12">
        <f t="shared" si="5"/>
        <v>41.551227128695984</v>
      </c>
    </row>
    <row r="49" spans="1:9" x14ac:dyDescent="0.25">
      <c r="A49" s="11" t="s">
        <v>39</v>
      </c>
      <c r="B49" s="14">
        <v>208435318</v>
      </c>
      <c r="C49" s="14">
        <f>'2-All Aid'!X49*1000000</f>
        <v>10530000</v>
      </c>
      <c r="D49" s="15">
        <f t="shared" ref="D49:D57" si="6">C49/B49</f>
        <v>5.0519269483878929E-2</v>
      </c>
      <c r="E49" s="16">
        <v>61183</v>
      </c>
      <c r="F49" s="26">
        <f>'2-All Aid'!E49</f>
        <v>10.53</v>
      </c>
      <c r="G49" s="12">
        <f t="shared" si="4"/>
        <v>172.10663092689146</v>
      </c>
      <c r="H49" s="12">
        <f>'2-All Aid'!B49+'2-All Aid'!C49</f>
        <v>10.53</v>
      </c>
      <c r="I49" s="12">
        <f t="shared" si="5"/>
        <v>172.10663092689146</v>
      </c>
    </row>
    <row r="50" spans="1:9" x14ac:dyDescent="0.25">
      <c r="A50" s="11" t="s">
        <v>40</v>
      </c>
      <c r="B50" s="14">
        <v>238879017</v>
      </c>
      <c r="C50" s="14">
        <f>'2-All Aid'!X50*1000000</f>
        <v>7056797</v>
      </c>
      <c r="D50" s="15">
        <f t="shared" si="6"/>
        <v>2.9541301235344583E-2</v>
      </c>
      <c r="E50" s="16">
        <v>36651</v>
      </c>
      <c r="F50" s="26">
        <f>'2-All Aid'!E50</f>
        <v>6.4061399999999997</v>
      </c>
      <c r="G50" s="12">
        <f t="shared" si="4"/>
        <v>174.78759106163542</v>
      </c>
      <c r="H50" s="12">
        <f>'2-All Aid'!B50+'2-All Aid'!C50</f>
        <v>0.20329</v>
      </c>
      <c r="I50" s="12">
        <f t="shared" si="5"/>
        <v>5.5466426564077382</v>
      </c>
    </row>
    <row r="51" spans="1:9" x14ac:dyDescent="0.25">
      <c r="A51" s="11" t="s">
        <v>43</v>
      </c>
      <c r="B51" s="14">
        <v>1113971200</v>
      </c>
      <c r="C51" s="14">
        <f>'2-All Aid'!X51*1000000</f>
        <v>178888234</v>
      </c>
      <c r="D51" s="15">
        <f t="shared" si="6"/>
        <v>0.16058604926231487</v>
      </c>
      <c r="E51" s="16">
        <v>264627</v>
      </c>
      <c r="F51" s="26">
        <f>'2-All Aid'!E51</f>
        <v>18.457753</v>
      </c>
      <c r="G51" s="12">
        <f t="shared" si="4"/>
        <v>69.750074633351844</v>
      </c>
      <c r="H51" s="12">
        <f>'2-All Aid'!B51+'2-All Aid'!C51</f>
        <v>2.080368</v>
      </c>
      <c r="I51" s="12">
        <f t="shared" si="5"/>
        <v>7.8615107301975993</v>
      </c>
    </row>
    <row r="52" spans="1:9" x14ac:dyDescent="0.25">
      <c r="A52" s="11" t="s">
        <v>44</v>
      </c>
      <c r="B52" s="14">
        <v>96188297</v>
      </c>
      <c r="C52" s="14">
        <f>'2-All Aid'!X52*1000000</f>
        <v>21453505.999999996</v>
      </c>
      <c r="D52" s="15">
        <f t="shared" si="6"/>
        <v>0.2230365509018212</v>
      </c>
      <c r="E52" s="16">
        <v>29794</v>
      </c>
      <c r="F52" s="26">
        <f>'2-All Aid'!E52</f>
        <v>17.280463999999998</v>
      </c>
      <c r="G52" s="12">
        <f t="shared" si="4"/>
        <v>579.99812042693156</v>
      </c>
      <c r="H52" s="12">
        <f>'2-All Aid'!B52+'2-All Aid'!C52</f>
        <v>17.197496999999998</v>
      </c>
      <c r="I52" s="12">
        <f t="shared" si="5"/>
        <v>577.21343223467807</v>
      </c>
    </row>
    <row r="53" spans="1:9" x14ac:dyDescent="0.25">
      <c r="A53" s="11" t="s">
        <v>46</v>
      </c>
      <c r="B53" s="14">
        <v>2037367000</v>
      </c>
      <c r="C53" s="14">
        <f>'2-All Aid'!X53*1000000</f>
        <v>403729760.99999994</v>
      </c>
      <c r="D53" s="15">
        <f t="shared" si="6"/>
        <v>0.19816251122159137</v>
      </c>
      <c r="E53" s="16">
        <v>269993</v>
      </c>
      <c r="F53" s="26">
        <f>'2-All Aid'!E53</f>
        <v>385.71397099999996</v>
      </c>
      <c r="G53" s="12">
        <f t="shared" si="4"/>
        <v>1428.6073009300239</v>
      </c>
      <c r="H53" s="12">
        <f>'2-All Aid'!B53+'2-All Aid'!C53</f>
        <v>373.26921099999998</v>
      </c>
      <c r="I53" s="12">
        <f t="shared" si="5"/>
        <v>1382.514402225243</v>
      </c>
    </row>
    <row r="54" spans="1:9" x14ac:dyDescent="0.25">
      <c r="A54" s="11" t="s">
        <v>47</v>
      </c>
      <c r="B54" s="14">
        <v>87353491</v>
      </c>
      <c r="C54" s="14">
        <f>'2-All Aid'!X54*1000000</f>
        <v>32406712.999999996</v>
      </c>
      <c r="D54" s="15">
        <f t="shared" si="6"/>
        <v>0.37098360499410377</v>
      </c>
      <c r="E54" s="16">
        <v>45403</v>
      </c>
      <c r="F54" s="26">
        <f>'2-All Aid'!E54</f>
        <v>32.406712999999996</v>
      </c>
      <c r="G54" s="12">
        <f t="shared" si="4"/>
        <v>713.75708653613185</v>
      </c>
      <c r="H54" s="12">
        <f>'2-All Aid'!B54+'2-All Aid'!C54</f>
        <v>0.83176799999999995</v>
      </c>
      <c r="I54" s="12">
        <f t="shared" si="5"/>
        <v>18.319670506354207</v>
      </c>
    </row>
    <row r="55" spans="1:9" x14ac:dyDescent="0.25">
      <c r="A55" s="11" t="s">
        <v>49</v>
      </c>
      <c r="B55" s="14">
        <v>1573280133</v>
      </c>
      <c r="C55" s="14">
        <f>'2-All Aid'!X55*1000000</f>
        <v>135054699</v>
      </c>
      <c r="D55" s="15">
        <f t="shared" si="6"/>
        <v>8.584275372655456E-2</v>
      </c>
      <c r="E55" s="16">
        <v>226223</v>
      </c>
      <c r="F55" s="26">
        <f>'2-All Aid'!E55</f>
        <v>126.120108</v>
      </c>
      <c r="G55" s="12">
        <f t="shared" si="4"/>
        <v>557.50347223757092</v>
      </c>
      <c r="H55" s="12">
        <f>'2-All Aid'!B55+'2-All Aid'!C55</f>
        <v>122.297927</v>
      </c>
      <c r="I55" s="12">
        <f t="shared" si="5"/>
        <v>540.60783828346371</v>
      </c>
    </row>
    <row r="56" spans="1:9" x14ac:dyDescent="0.25">
      <c r="A56" s="11" t="s">
        <v>50</v>
      </c>
      <c r="B56" s="14">
        <v>384799235</v>
      </c>
      <c r="C56" s="14">
        <f>'2-All Aid'!X56*1000000</f>
        <v>18110072</v>
      </c>
      <c r="D56" s="15">
        <f t="shared" si="6"/>
        <v>4.7063690238365471E-2</v>
      </c>
      <c r="E56" s="16">
        <v>20930</v>
      </c>
      <c r="F56" s="26">
        <f>'2-All Aid'!E56</f>
        <v>0</v>
      </c>
      <c r="G56" s="12">
        <f t="shared" si="4"/>
        <v>0</v>
      </c>
      <c r="H56" s="12">
        <f>'2-All Aid'!B56+'2-All Aid'!C56</f>
        <v>0</v>
      </c>
      <c r="I56" s="12">
        <f t="shared" si="5"/>
        <v>0</v>
      </c>
    </row>
    <row r="57" spans="1:9" s="134" customFormat="1" x14ac:dyDescent="0.25">
      <c r="A57" s="42" t="s">
        <v>51</v>
      </c>
      <c r="B57" s="130">
        <v>92146015230</v>
      </c>
      <c r="C57" s="130">
        <f>'2-All Aid'!X57*1000000</f>
        <v>14164932699.000002</v>
      </c>
      <c r="D57" s="131">
        <f t="shared" si="6"/>
        <v>0.15372268310945172</v>
      </c>
      <c r="E57" s="51">
        <f>SUM(E18,E21:E56)</f>
        <v>12977212</v>
      </c>
      <c r="F57" s="96">
        <f>'2-All Aid'!E57</f>
        <v>12079.419592000002</v>
      </c>
      <c r="G57" s="41">
        <f t="shared" si="4"/>
        <v>930.81777441872737</v>
      </c>
      <c r="H57" s="41">
        <f>'2-All Aid'!B57+'2-All Aid'!C57</f>
        <v>8928.7258580000016</v>
      </c>
      <c r="I57" s="41">
        <f t="shared" si="5"/>
        <v>688.03113164830802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7B63E-A9BB-4331-A1E0-68A16AFAD86A}">
  <dimension ref="A1:F57"/>
  <sheetViews>
    <sheetView topLeftCell="A39" workbookViewId="0">
      <selection activeCell="H58" sqref="H58"/>
    </sheetView>
  </sheetViews>
  <sheetFormatPr defaultRowHeight="15" x14ac:dyDescent="0.25"/>
  <cols>
    <col min="1" max="1" width="15.42578125" style="11" customWidth="1"/>
    <col min="2" max="2" width="11.7109375" style="23" customWidth="1"/>
    <col min="3" max="3" width="18.42578125" style="11" customWidth="1"/>
    <col min="4" max="4" width="9.85546875" style="11" customWidth="1"/>
    <col min="5" max="6" width="9.28515625" style="23" bestFit="1" customWidth="1"/>
  </cols>
  <sheetData>
    <row r="1" spans="1:6" ht="90" x14ac:dyDescent="0.25">
      <c r="A1" s="6" t="s">
        <v>104</v>
      </c>
      <c r="B1" s="6" t="s">
        <v>113</v>
      </c>
      <c r="C1" s="6" t="s">
        <v>139</v>
      </c>
      <c r="D1" s="10" t="s">
        <v>140</v>
      </c>
      <c r="E1" s="10" t="s">
        <v>137</v>
      </c>
      <c r="F1" s="10" t="s">
        <v>138</v>
      </c>
    </row>
    <row r="2" spans="1:6" x14ac:dyDescent="0.25">
      <c r="A2" s="11" t="s">
        <v>0</v>
      </c>
      <c r="B2" s="18">
        <v>598300</v>
      </c>
      <c r="C2" s="14">
        <f t="shared" ref="C2:C17" si="0">B2*D2</f>
        <v>22017440000</v>
      </c>
      <c r="D2" s="14">
        <v>36800</v>
      </c>
      <c r="E2" s="19">
        <v>0.13300000000000001</v>
      </c>
      <c r="F2" s="19">
        <v>0.10299999999999999</v>
      </c>
    </row>
    <row r="3" spans="1:6" x14ac:dyDescent="0.25">
      <c r="A3" s="11" t="s">
        <v>3</v>
      </c>
      <c r="B3" s="18">
        <v>365500</v>
      </c>
      <c r="C3" s="14">
        <f t="shared" si="0"/>
        <v>11659450000</v>
      </c>
      <c r="D3" s="14">
        <v>31900</v>
      </c>
      <c r="E3" s="19">
        <v>0.129</v>
      </c>
      <c r="F3" s="19">
        <v>9.7000000000000003E-2</v>
      </c>
    </row>
    <row r="4" spans="1:6" x14ac:dyDescent="0.25">
      <c r="A4" s="11" t="s">
        <v>7</v>
      </c>
      <c r="B4" s="18">
        <v>131100</v>
      </c>
      <c r="C4" s="14">
        <f t="shared" si="0"/>
        <v>4758930000</v>
      </c>
      <c r="D4" s="14">
        <v>36300</v>
      </c>
      <c r="E4" s="19">
        <v>9.4E-2</v>
      </c>
      <c r="F4" s="19">
        <v>8.5000000000000006E-2</v>
      </c>
    </row>
    <row r="5" spans="1:6" x14ac:dyDescent="0.25">
      <c r="A5" s="11" t="s">
        <v>8</v>
      </c>
      <c r="B5" s="18">
        <v>2594500</v>
      </c>
      <c r="C5" s="14">
        <f t="shared" si="0"/>
        <v>98331550000</v>
      </c>
      <c r="D5" s="14">
        <v>37900</v>
      </c>
      <c r="E5" s="19">
        <v>0.11600000000000001</v>
      </c>
      <c r="F5" s="19">
        <v>9.1999999999999998E-2</v>
      </c>
    </row>
    <row r="6" spans="1:6" x14ac:dyDescent="0.25">
      <c r="A6" s="11" t="s">
        <v>9</v>
      </c>
      <c r="B6" s="18">
        <v>1590000</v>
      </c>
      <c r="C6" s="14">
        <f t="shared" si="0"/>
        <v>65349000000</v>
      </c>
      <c r="D6" s="14">
        <v>41100</v>
      </c>
      <c r="E6" s="19">
        <v>0.125</v>
      </c>
      <c r="F6" s="19">
        <v>9.9000000000000005E-2</v>
      </c>
    </row>
    <row r="7" spans="1:6" x14ac:dyDescent="0.25">
      <c r="A7" s="11" t="s">
        <v>16</v>
      </c>
      <c r="B7" s="18">
        <v>581700</v>
      </c>
      <c r="C7" s="14">
        <f t="shared" si="0"/>
        <v>19079760000</v>
      </c>
      <c r="D7" s="14">
        <v>32800</v>
      </c>
      <c r="E7" s="19">
        <v>0.13200000000000001</v>
      </c>
      <c r="F7" s="19">
        <v>0.106</v>
      </c>
    </row>
    <row r="8" spans="1:6" x14ac:dyDescent="0.25">
      <c r="A8" s="11" t="s">
        <v>17</v>
      </c>
      <c r="B8" s="18">
        <v>625400</v>
      </c>
      <c r="C8" s="14">
        <f t="shared" si="0"/>
        <v>21701380000</v>
      </c>
      <c r="D8" s="14">
        <v>34700</v>
      </c>
      <c r="E8" s="19">
        <v>0.129</v>
      </c>
      <c r="F8" s="19">
        <v>0.10299999999999999</v>
      </c>
    </row>
    <row r="9" spans="1:6" x14ac:dyDescent="0.25">
      <c r="A9" s="11" t="s">
        <v>19</v>
      </c>
      <c r="B9" s="18">
        <v>872600</v>
      </c>
      <c r="C9" s="14">
        <f t="shared" si="0"/>
        <v>37085500000</v>
      </c>
      <c r="D9" s="14">
        <v>42500</v>
      </c>
      <c r="E9" s="19">
        <v>9.5000000000000001E-2</v>
      </c>
      <c r="F9" s="19">
        <v>7.8E-2</v>
      </c>
    </row>
    <row r="10" spans="1:6" s="134" customFormat="1" x14ac:dyDescent="0.25">
      <c r="A10" s="47" t="s">
        <v>23</v>
      </c>
      <c r="B10" s="135">
        <v>414800</v>
      </c>
      <c r="C10" s="132">
        <f t="shared" si="0"/>
        <v>15181680000</v>
      </c>
      <c r="D10" s="132">
        <v>36600</v>
      </c>
      <c r="E10" s="94">
        <v>0.153</v>
      </c>
      <c r="F10" s="94">
        <v>0.112</v>
      </c>
    </row>
    <row r="11" spans="1:6" x14ac:dyDescent="0.25">
      <c r="A11" s="11" t="s">
        <v>32</v>
      </c>
      <c r="B11" s="18">
        <v>1322400</v>
      </c>
      <c r="C11" s="14">
        <f t="shared" si="0"/>
        <v>47870880000</v>
      </c>
      <c r="D11" s="14">
        <v>36200</v>
      </c>
      <c r="E11" s="19">
        <v>0.112</v>
      </c>
      <c r="F11" s="19">
        <v>0.09</v>
      </c>
    </row>
    <row r="12" spans="1:6" x14ac:dyDescent="0.25">
      <c r="A12" s="11" t="s">
        <v>35</v>
      </c>
      <c r="B12" s="18">
        <v>464600</v>
      </c>
      <c r="C12" s="14">
        <f t="shared" si="0"/>
        <v>14588440000</v>
      </c>
      <c r="D12" s="14">
        <v>31400</v>
      </c>
      <c r="E12" s="19">
        <v>0.13100000000000001</v>
      </c>
      <c r="F12" s="19">
        <v>0.10299999999999999</v>
      </c>
    </row>
    <row r="13" spans="1:6" x14ac:dyDescent="0.25">
      <c r="A13" s="11" t="s">
        <v>112</v>
      </c>
      <c r="B13" s="18">
        <v>731000</v>
      </c>
      <c r="C13" s="14">
        <f t="shared" si="0"/>
        <v>26754600000</v>
      </c>
      <c r="D13" s="14">
        <v>36600</v>
      </c>
      <c r="E13" s="19">
        <v>0.127</v>
      </c>
      <c r="F13" s="19">
        <v>0.10199999999999999</v>
      </c>
    </row>
    <row r="14" spans="1:6" x14ac:dyDescent="0.25">
      <c r="A14" s="11" t="s">
        <v>41</v>
      </c>
      <c r="B14" s="18">
        <v>846700</v>
      </c>
      <c r="C14" s="14">
        <f t="shared" si="0"/>
        <v>30057850000</v>
      </c>
      <c r="D14" s="14">
        <v>35500</v>
      </c>
      <c r="E14" s="19">
        <v>0.126</v>
      </c>
      <c r="F14" s="19">
        <v>9.8000000000000004E-2</v>
      </c>
    </row>
    <row r="15" spans="1:6" x14ac:dyDescent="0.25">
      <c r="A15" s="11" t="s">
        <v>42</v>
      </c>
      <c r="B15" s="18">
        <v>3593500</v>
      </c>
      <c r="C15" s="14">
        <f t="shared" si="0"/>
        <v>117507450000</v>
      </c>
      <c r="D15" s="14">
        <v>32700</v>
      </c>
      <c r="E15" s="19">
        <v>0.115</v>
      </c>
      <c r="F15" s="19">
        <v>9.4E-2</v>
      </c>
    </row>
    <row r="16" spans="1:6" x14ac:dyDescent="0.25">
      <c r="A16" s="11" t="s">
        <v>45</v>
      </c>
      <c r="B16" s="18">
        <v>1159900</v>
      </c>
      <c r="C16" s="14">
        <f t="shared" si="0"/>
        <v>44192190000</v>
      </c>
      <c r="D16" s="14">
        <v>38100</v>
      </c>
      <c r="E16" s="19">
        <v>9.1999999999999998E-2</v>
      </c>
      <c r="F16" s="19">
        <v>7.5999999999999998E-2</v>
      </c>
    </row>
    <row r="17" spans="1:6" x14ac:dyDescent="0.25">
      <c r="A17" s="11" t="s">
        <v>48</v>
      </c>
      <c r="B17" s="18">
        <v>216700</v>
      </c>
      <c r="C17" s="14">
        <f t="shared" si="0"/>
        <v>6891060000</v>
      </c>
      <c r="D17" s="14">
        <v>31800</v>
      </c>
      <c r="E17" s="19">
        <v>0.13500000000000001</v>
      </c>
      <c r="F17" s="19">
        <v>0.11799999999999999</v>
      </c>
    </row>
    <row r="18" spans="1:6" s="134" customFormat="1" x14ac:dyDescent="0.25">
      <c r="A18" s="42" t="s">
        <v>195</v>
      </c>
      <c r="B18" s="137">
        <f>SUM(B2:B17)</f>
        <v>16108700</v>
      </c>
      <c r="C18" s="130">
        <f>SUM(C2:C17)</f>
        <v>583027160000</v>
      </c>
      <c r="D18" s="130">
        <f>C18/B18</f>
        <v>36193.309205584563</v>
      </c>
      <c r="E18" s="79"/>
      <c r="F18" s="79"/>
    </row>
    <row r="19" spans="1:6" s="1" customFormat="1" x14ac:dyDescent="0.25">
      <c r="A19" s="11"/>
      <c r="B19" s="18"/>
      <c r="C19" s="14"/>
      <c r="D19" s="14"/>
      <c r="E19" s="19"/>
      <c r="F19" s="19"/>
    </row>
    <row r="20" spans="1:6" x14ac:dyDescent="0.25">
      <c r="B20" s="18"/>
      <c r="C20" s="14"/>
      <c r="D20" s="14"/>
      <c r="E20" s="19"/>
      <c r="F20" s="19"/>
    </row>
    <row r="21" spans="1:6" x14ac:dyDescent="0.25">
      <c r="A21" s="11" t="s">
        <v>1</v>
      </c>
      <c r="B21" s="18">
        <v>71400</v>
      </c>
      <c r="C21" s="14">
        <f t="shared" ref="C21:C56" si="1">B21*D21</f>
        <v>2356200000</v>
      </c>
      <c r="D21" s="14">
        <v>33000</v>
      </c>
      <c r="E21" s="19">
        <v>0.113</v>
      </c>
      <c r="F21" s="19">
        <v>0.105</v>
      </c>
    </row>
    <row r="22" spans="1:6" x14ac:dyDescent="0.25">
      <c r="A22" s="11" t="s">
        <v>2</v>
      </c>
      <c r="B22" s="18">
        <v>858000</v>
      </c>
      <c r="C22" s="14">
        <f t="shared" si="1"/>
        <v>30630600000</v>
      </c>
      <c r="D22" s="14">
        <v>35700</v>
      </c>
      <c r="E22" s="19">
        <v>0.12</v>
      </c>
      <c r="F22" s="19">
        <v>9.1999999999999998E-2</v>
      </c>
    </row>
    <row r="23" spans="1:6" x14ac:dyDescent="0.25">
      <c r="A23" s="11" t="s">
        <v>4</v>
      </c>
      <c r="B23" s="18">
        <v>4029100</v>
      </c>
      <c r="C23" s="14">
        <f t="shared" si="1"/>
        <v>148270880000</v>
      </c>
      <c r="D23" s="14">
        <v>36800</v>
      </c>
      <c r="E23" s="19">
        <v>9.7000000000000003E-2</v>
      </c>
      <c r="F23" s="19">
        <v>7.5999999999999998E-2</v>
      </c>
    </row>
    <row r="24" spans="1:6" x14ac:dyDescent="0.25">
      <c r="A24" s="11" t="s">
        <v>5</v>
      </c>
      <c r="B24" s="18">
        <v>812900</v>
      </c>
      <c r="C24" s="14">
        <f t="shared" si="1"/>
        <v>29345690000</v>
      </c>
      <c r="D24" s="14">
        <v>36100</v>
      </c>
      <c r="E24" s="19">
        <v>9.2999999999999999E-2</v>
      </c>
      <c r="F24" s="19">
        <v>7.2999999999999995E-2</v>
      </c>
    </row>
    <row r="25" spans="1:6" x14ac:dyDescent="0.25">
      <c r="A25" s="11" t="s">
        <v>6</v>
      </c>
      <c r="B25" s="18">
        <v>538900</v>
      </c>
      <c r="C25" s="14">
        <f t="shared" si="1"/>
        <v>19238730000</v>
      </c>
      <c r="D25" s="14">
        <v>35700</v>
      </c>
      <c r="E25" s="19">
        <v>8.5999999999999993E-2</v>
      </c>
      <c r="F25" s="19">
        <v>7.0999999999999994E-2</v>
      </c>
    </row>
    <row r="26" spans="1:6" x14ac:dyDescent="0.25">
      <c r="A26" s="11" t="s">
        <v>10</v>
      </c>
      <c r="B26" s="18">
        <v>128800</v>
      </c>
      <c r="C26" s="14">
        <f t="shared" si="1"/>
        <v>4495120000</v>
      </c>
      <c r="D26" s="14">
        <v>34900</v>
      </c>
      <c r="E26" s="19">
        <v>0.107</v>
      </c>
      <c r="F26" s="19">
        <v>9.4E-2</v>
      </c>
    </row>
    <row r="27" spans="1:6" x14ac:dyDescent="0.25">
      <c r="A27" s="11" t="s">
        <v>11</v>
      </c>
      <c r="B27" s="18">
        <v>219900</v>
      </c>
      <c r="C27" s="14">
        <f t="shared" si="1"/>
        <v>7366650000</v>
      </c>
      <c r="D27" s="14">
        <v>33500</v>
      </c>
      <c r="E27" s="19">
        <v>9.4E-2</v>
      </c>
      <c r="F27" s="19">
        <v>7.0999999999999994E-2</v>
      </c>
    </row>
    <row r="28" spans="1:6" x14ac:dyDescent="0.25">
      <c r="A28" s="11" t="s">
        <v>12</v>
      </c>
      <c r="B28" s="18">
        <v>1715900</v>
      </c>
      <c r="C28" s="14">
        <f t="shared" si="1"/>
        <v>64003070000</v>
      </c>
      <c r="D28" s="14">
        <v>37300</v>
      </c>
      <c r="E28" s="19">
        <v>9.1999999999999998E-2</v>
      </c>
      <c r="F28" s="19">
        <v>7.6999999999999999E-2</v>
      </c>
    </row>
    <row r="29" spans="1:6" x14ac:dyDescent="0.25">
      <c r="A29" s="11" t="s">
        <v>13</v>
      </c>
      <c r="B29" s="18">
        <v>936600</v>
      </c>
      <c r="C29" s="14">
        <f t="shared" si="1"/>
        <v>30158520000</v>
      </c>
      <c r="D29" s="14">
        <v>32200</v>
      </c>
      <c r="E29" s="19">
        <v>0.12</v>
      </c>
      <c r="F29" s="19">
        <v>0.10100000000000001</v>
      </c>
    </row>
    <row r="30" spans="1:6" x14ac:dyDescent="0.25">
      <c r="A30" s="11" t="s">
        <v>14</v>
      </c>
      <c r="B30" s="18">
        <v>462400</v>
      </c>
      <c r="C30" s="14">
        <f t="shared" si="1"/>
        <v>13687040000</v>
      </c>
      <c r="D30" s="14">
        <v>29600</v>
      </c>
      <c r="E30" s="19">
        <v>9.1999999999999998E-2</v>
      </c>
      <c r="F30" s="19">
        <v>8.8999999999999996E-2</v>
      </c>
    </row>
    <row r="31" spans="1:6" x14ac:dyDescent="0.25">
      <c r="A31" s="11" t="s">
        <v>15</v>
      </c>
      <c r="B31" s="18">
        <v>392600</v>
      </c>
      <c r="C31" s="14">
        <f t="shared" si="1"/>
        <v>12798760000</v>
      </c>
      <c r="D31" s="14">
        <v>32600</v>
      </c>
      <c r="E31" s="19">
        <v>0.104</v>
      </c>
      <c r="F31" s="19">
        <v>9.4E-2</v>
      </c>
    </row>
    <row r="32" spans="1:6" x14ac:dyDescent="0.25">
      <c r="A32" s="11" t="s">
        <v>18</v>
      </c>
      <c r="B32" s="18">
        <v>206100</v>
      </c>
      <c r="C32" s="14">
        <f t="shared" si="1"/>
        <v>6636420000</v>
      </c>
      <c r="D32" s="14">
        <v>32200</v>
      </c>
      <c r="E32" s="19">
        <v>8.5000000000000006E-2</v>
      </c>
      <c r="F32" s="19">
        <v>7.2999999999999995E-2</v>
      </c>
    </row>
    <row r="33" spans="1:6" x14ac:dyDescent="0.25">
      <c r="A33" s="11" t="s">
        <v>20</v>
      </c>
      <c r="B33" s="18">
        <v>1044400</v>
      </c>
      <c r="C33" s="14">
        <f t="shared" si="1"/>
        <v>35927360000</v>
      </c>
      <c r="D33" s="14">
        <v>34400</v>
      </c>
      <c r="E33" s="19">
        <v>7.0999999999999994E-2</v>
      </c>
      <c r="F33" s="19">
        <v>6.3E-2</v>
      </c>
    </row>
    <row r="34" spans="1:6" x14ac:dyDescent="0.25">
      <c r="A34" s="11" t="s">
        <v>21</v>
      </c>
      <c r="B34" s="18">
        <v>1440600</v>
      </c>
      <c r="C34" s="14">
        <f t="shared" si="1"/>
        <v>51429420000</v>
      </c>
      <c r="D34" s="14">
        <v>35700</v>
      </c>
      <c r="E34" s="19">
        <v>0.115</v>
      </c>
      <c r="F34" s="19">
        <v>8.8999999999999996E-2</v>
      </c>
    </row>
    <row r="35" spans="1:6" x14ac:dyDescent="0.25">
      <c r="A35" s="11" t="s">
        <v>22</v>
      </c>
      <c r="B35" s="18">
        <v>902400</v>
      </c>
      <c r="C35" s="14">
        <f t="shared" si="1"/>
        <v>28967040000</v>
      </c>
      <c r="D35" s="14">
        <v>32100</v>
      </c>
      <c r="E35" s="19">
        <v>7.6999999999999999E-2</v>
      </c>
      <c r="F35" s="19">
        <v>7.2999999999999995E-2</v>
      </c>
    </row>
    <row r="36" spans="1:6" x14ac:dyDescent="0.25">
      <c r="A36" s="11" t="s">
        <v>24</v>
      </c>
      <c r="B36" s="18">
        <v>833100</v>
      </c>
      <c r="C36" s="14">
        <f t="shared" si="1"/>
        <v>29158500000</v>
      </c>
      <c r="D36" s="14">
        <v>35000</v>
      </c>
      <c r="E36" s="19">
        <v>0.113</v>
      </c>
      <c r="F36" s="19">
        <v>9.6000000000000002E-2</v>
      </c>
    </row>
    <row r="37" spans="1:6" x14ac:dyDescent="0.25">
      <c r="A37" s="11" t="s">
        <v>25</v>
      </c>
      <c r="B37" s="18">
        <v>132000</v>
      </c>
      <c r="C37" s="14">
        <f t="shared" si="1"/>
        <v>4184400000</v>
      </c>
      <c r="D37" s="14">
        <v>31700</v>
      </c>
      <c r="E37" s="19">
        <v>0.09</v>
      </c>
      <c r="F37" s="19">
        <v>7.4999999999999997E-2</v>
      </c>
    </row>
    <row r="38" spans="1:6" x14ac:dyDescent="0.25">
      <c r="A38" s="11" t="s">
        <v>26</v>
      </c>
      <c r="B38" s="18">
        <v>264400</v>
      </c>
      <c r="C38" s="14">
        <f t="shared" si="1"/>
        <v>8302160000</v>
      </c>
      <c r="D38" s="14">
        <v>31400</v>
      </c>
      <c r="E38" s="19">
        <v>7.4999999999999997E-2</v>
      </c>
      <c r="F38" s="19">
        <v>6.3E-2</v>
      </c>
    </row>
    <row r="39" spans="1:6" x14ac:dyDescent="0.25">
      <c r="A39" s="11" t="s">
        <v>27</v>
      </c>
      <c r="B39" s="18">
        <v>333100</v>
      </c>
      <c r="C39" s="14">
        <f t="shared" si="1"/>
        <v>11558570000</v>
      </c>
      <c r="D39" s="14">
        <v>34700</v>
      </c>
      <c r="E39" s="19">
        <v>0.13400000000000001</v>
      </c>
      <c r="F39" s="19">
        <v>0.10100000000000001</v>
      </c>
    </row>
    <row r="40" spans="1:6" x14ac:dyDescent="0.25">
      <c r="A40" s="11" t="s">
        <v>28</v>
      </c>
      <c r="B40" s="18">
        <v>225300</v>
      </c>
      <c r="C40" s="14">
        <f t="shared" si="1"/>
        <v>7525020000</v>
      </c>
      <c r="D40" s="14">
        <v>33400</v>
      </c>
      <c r="E40" s="19">
        <v>7.5999999999999998E-2</v>
      </c>
      <c r="F40" s="19">
        <v>7.3999999999999996E-2</v>
      </c>
    </row>
    <row r="41" spans="1:6" x14ac:dyDescent="0.25">
      <c r="A41" s="11" t="s">
        <v>29</v>
      </c>
      <c r="B41" s="18">
        <v>1337300</v>
      </c>
      <c r="C41" s="14">
        <f t="shared" si="1"/>
        <v>48811450000</v>
      </c>
      <c r="D41" s="14">
        <v>36500</v>
      </c>
      <c r="E41" s="19">
        <v>8.4000000000000005E-2</v>
      </c>
      <c r="F41" s="19">
        <v>7.0999999999999994E-2</v>
      </c>
    </row>
    <row r="42" spans="1:6" x14ac:dyDescent="0.25">
      <c r="A42" s="11" t="s">
        <v>30</v>
      </c>
      <c r="B42" s="18">
        <v>220600</v>
      </c>
      <c r="C42" s="14">
        <f t="shared" si="1"/>
        <v>7412160000</v>
      </c>
      <c r="D42" s="14">
        <v>33600</v>
      </c>
      <c r="E42" s="19">
        <v>0.13900000000000001</v>
      </c>
      <c r="F42" s="19">
        <v>0.108</v>
      </c>
    </row>
    <row r="43" spans="1:6" x14ac:dyDescent="0.25">
      <c r="A43" s="11" t="s">
        <v>31</v>
      </c>
      <c r="B43" s="18">
        <v>2654100</v>
      </c>
      <c r="C43" s="14">
        <f t="shared" si="1"/>
        <v>99794160000</v>
      </c>
      <c r="D43" s="14">
        <v>37600</v>
      </c>
      <c r="E43" s="19">
        <v>7.3999999999999996E-2</v>
      </c>
      <c r="F43" s="19">
        <v>6.6000000000000003E-2</v>
      </c>
    </row>
    <row r="44" spans="1:6" x14ac:dyDescent="0.25">
      <c r="A44" s="11" t="s">
        <v>33</v>
      </c>
      <c r="B44" s="18">
        <v>113800</v>
      </c>
      <c r="C44" s="14">
        <f t="shared" si="1"/>
        <v>3163640000</v>
      </c>
      <c r="D44" s="14">
        <v>27800</v>
      </c>
      <c r="E44" s="19">
        <v>6.9000000000000006E-2</v>
      </c>
      <c r="F44" s="19">
        <v>6.8000000000000005E-2</v>
      </c>
    </row>
    <row r="45" spans="1:6" x14ac:dyDescent="0.25">
      <c r="A45" s="11" t="s">
        <v>34</v>
      </c>
      <c r="B45" s="18">
        <v>1832000</v>
      </c>
      <c r="C45" s="14">
        <f t="shared" si="1"/>
        <v>62837600000</v>
      </c>
      <c r="D45" s="14">
        <v>34300</v>
      </c>
      <c r="E45" s="19">
        <v>0.11600000000000001</v>
      </c>
      <c r="F45" s="19">
        <v>9.6000000000000002E-2</v>
      </c>
    </row>
    <row r="46" spans="1:6" x14ac:dyDescent="0.25">
      <c r="A46" s="11" t="s">
        <v>36</v>
      </c>
      <c r="B46" s="18">
        <v>561200</v>
      </c>
      <c r="C46" s="14">
        <f t="shared" si="1"/>
        <v>20708280000</v>
      </c>
      <c r="D46" s="14">
        <v>36900</v>
      </c>
      <c r="E46" s="19">
        <v>0.115</v>
      </c>
      <c r="F46" s="19">
        <v>0.09</v>
      </c>
    </row>
    <row r="47" spans="1:6" x14ac:dyDescent="0.25">
      <c r="A47" s="11" t="s">
        <v>37</v>
      </c>
      <c r="B47" s="18">
        <v>2061400</v>
      </c>
      <c r="C47" s="14">
        <f t="shared" si="1"/>
        <v>71530580000</v>
      </c>
      <c r="D47" s="14">
        <v>34700</v>
      </c>
      <c r="E47" s="19">
        <v>9.1999999999999998E-2</v>
      </c>
      <c r="F47" s="19">
        <v>7.8E-2</v>
      </c>
    </row>
    <row r="48" spans="1:6" x14ac:dyDescent="0.25">
      <c r="A48" s="11" t="s">
        <v>38</v>
      </c>
      <c r="B48" s="18">
        <v>295700</v>
      </c>
      <c r="C48" s="14">
        <f t="shared" si="1"/>
        <v>8309170000</v>
      </c>
      <c r="D48" s="14">
        <v>28100</v>
      </c>
      <c r="E48" s="19">
        <v>0.14000000000000001</v>
      </c>
      <c r="F48" s="19">
        <v>0.107</v>
      </c>
    </row>
    <row r="49" spans="1:6" x14ac:dyDescent="0.25">
      <c r="A49" s="11" t="s">
        <v>39</v>
      </c>
      <c r="B49" s="18">
        <v>155900</v>
      </c>
      <c r="C49" s="14">
        <f t="shared" si="1"/>
        <v>5051160000</v>
      </c>
      <c r="D49" s="14">
        <v>32400</v>
      </c>
      <c r="E49" s="19">
        <v>8.8999999999999996E-2</v>
      </c>
      <c r="F49" s="19">
        <v>7.9000000000000001E-2</v>
      </c>
    </row>
    <row r="50" spans="1:6" x14ac:dyDescent="0.25">
      <c r="A50" s="11" t="s">
        <v>40</v>
      </c>
      <c r="B50" s="18">
        <v>132300</v>
      </c>
      <c r="C50" s="14">
        <f t="shared" si="1"/>
        <v>3757320000</v>
      </c>
      <c r="D50" s="14">
        <v>28400</v>
      </c>
      <c r="E50" s="19">
        <v>7.4999999999999997E-2</v>
      </c>
      <c r="F50" s="19">
        <v>7.0999999999999994E-2</v>
      </c>
    </row>
    <row r="51" spans="1:6" x14ac:dyDescent="0.25">
      <c r="A51" s="11" t="s">
        <v>43</v>
      </c>
      <c r="B51" s="18">
        <v>318400</v>
      </c>
      <c r="C51" s="14">
        <f t="shared" si="1"/>
        <v>10220640000</v>
      </c>
      <c r="D51" s="14">
        <v>32100</v>
      </c>
      <c r="E51" s="19">
        <v>8.2000000000000003E-2</v>
      </c>
      <c r="F51" s="19">
        <v>6.2E-2</v>
      </c>
    </row>
    <row r="52" spans="1:6" x14ac:dyDescent="0.25">
      <c r="A52" s="11" t="s">
        <v>44</v>
      </c>
      <c r="B52" s="18">
        <v>92000</v>
      </c>
      <c r="C52" s="14">
        <f t="shared" si="1"/>
        <v>3155600000</v>
      </c>
      <c r="D52" s="14">
        <v>34300</v>
      </c>
      <c r="E52" s="19">
        <v>6.3E-2</v>
      </c>
      <c r="F52" s="19">
        <v>6.5000000000000002E-2</v>
      </c>
    </row>
    <row r="53" spans="1:6" x14ac:dyDescent="0.25">
      <c r="A53" s="11" t="s">
        <v>46</v>
      </c>
      <c r="B53" s="18">
        <v>840700</v>
      </c>
      <c r="C53" s="14">
        <f t="shared" si="1"/>
        <v>29424500000</v>
      </c>
      <c r="D53" s="14">
        <v>35000</v>
      </c>
      <c r="E53" s="19">
        <v>8.5999999999999993E-2</v>
      </c>
      <c r="F53" s="19">
        <v>6.7000000000000004E-2</v>
      </c>
    </row>
    <row r="54" spans="1:6" x14ac:dyDescent="0.25">
      <c r="A54" s="11" t="s">
        <v>47</v>
      </c>
      <c r="B54" s="18">
        <v>124600</v>
      </c>
      <c r="C54" s="14">
        <f t="shared" si="1"/>
        <v>7251720000</v>
      </c>
      <c r="D54" s="14">
        <v>58200</v>
      </c>
      <c r="E54" s="19">
        <v>0.105</v>
      </c>
      <c r="F54" s="19">
        <v>7.0000000000000007E-2</v>
      </c>
    </row>
    <row r="55" spans="1:6" x14ac:dyDescent="0.25">
      <c r="A55" s="11" t="s">
        <v>49</v>
      </c>
      <c r="B55" s="18">
        <v>789800</v>
      </c>
      <c r="C55" s="14">
        <f t="shared" si="1"/>
        <v>24246860000</v>
      </c>
      <c r="D55" s="14">
        <v>30700</v>
      </c>
      <c r="E55" s="19">
        <v>8.5999999999999993E-2</v>
      </c>
      <c r="F55" s="19">
        <v>7.1999999999999995E-2</v>
      </c>
    </row>
    <row r="56" spans="1:6" x14ac:dyDescent="0.25">
      <c r="A56" s="11" t="s">
        <v>50</v>
      </c>
      <c r="B56" s="18">
        <v>55300</v>
      </c>
      <c r="C56" s="14">
        <f t="shared" si="1"/>
        <v>1642410000</v>
      </c>
      <c r="D56" s="14">
        <v>29700</v>
      </c>
      <c r="E56" s="19">
        <v>9.0999999999999998E-2</v>
      </c>
      <c r="F56" s="19">
        <v>7.1999999999999995E-2</v>
      </c>
    </row>
    <row r="57" spans="1:6" s="134" customFormat="1" x14ac:dyDescent="0.25">
      <c r="A57" s="42" t="s">
        <v>51</v>
      </c>
      <c r="B57" s="138">
        <f>SUM(B18:B56)</f>
        <v>43241700</v>
      </c>
      <c r="C57" s="139">
        <f>SUM(C18:C56)</f>
        <v>1536384560000</v>
      </c>
      <c r="D57" s="130">
        <f>C57/B57</f>
        <v>35530.160932618281</v>
      </c>
      <c r="E57" s="136"/>
      <c r="F57" s="13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9C930-1FD4-479C-BA4F-BAB620446029}">
  <dimension ref="A1:G57"/>
  <sheetViews>
    <sheetView topLeftCell="A43" workbookViewId="0">
      <selection activeCell="A57" sqref="A57:XFD57"/>
    </sheetView>
  </sheetViews>
  <sheetFormatPr defaultRowHeight="15" x14ac:dyDescent="0.25"/>
  <cols>
    <col min="1" max="1" width="15.42578125" style="11" customWidth="1"/>
    <col min="2" max="2" width="67.140625" style="11" customWidth="1"/>
    <col min="3" max="3" width="11.7109375" style="12" bestFit="1" customWidth="1"/>
    <col min="4" max="4" width="10.7109375" style="12" bestFit="1" customWidth="1"/>
    <col min="5" max="5" width="10" style="11" bestFit="1" customWidth="1"/>
    <col min="6" max="6" width="17.85546875" style="12" customWidth="1"/>
    <col min="7" max="7" width="11" style="12" customWidth="1"/>
  </cols>
  <sheetData>
    <row r="1" spans="1:7" ht="51.75" x14ac:dyDescent="0.25">
      <c r="A1" s="6" t="s">
        <v>104</v>
      </c>
      <c r="B1" s="6" t="s">
        <v>106</v>
      </c>
      <c r="C1" s="4" t="s">
        <v>123</v>
      </c>
      <c r="D1" s="4" t="s">
        <v>124</v>
      </c>
      <c r="E1" s="5" t="s">
        <v>125</v>
      </c>
      <c r="F1" s="4" t="s">
        <v>126</v>
      </c>
      <c r="G1" s="4" t="s">
        <v>127</v>
      </c>
    </row>
    <row r="2" spans="1:7" x14ac:dyDescent="0.25">
      <c r="A2" s="11" t="s">
        <v>0</v>
      </c>
      <c r="B2" s="11" t="s">
        <v>52</v>
      </c>
      <c r="C2" s="12">
        <v>5000</v>
      </c>
      <c r="D2" s="12">
        <v>300</v>
      </c>
      <c r="E2" s="17">
        <v>5441</v>
      </c>
      <c r="F2" s="12">
        <v>4000294</v>
      </c>
      <c r="G2" s="12">
        <v>735.21301231391283</v>
      </c>
    </row>
    <row r="3" spans="1:7" x14ac:dyDescent="0.25">
      <c r="A3" s="11" t="s">
        <v>3</v>
      </c>
      <c r="B3" s="11" t="s">
        <v>55</v>
      </c>
      <c r="C3" s="12">
        <v>1000</v>
      </c>
      <c r="D3" s="12">
        <v>250</v>
      </c>
      <c r="E3" s="17">
        <v>4928</v>
      </c>
      <c r="F3" s="12">
        <v>1776158</v>
      </c>
      <c r="G3" s="12">
        <v>360.4216720779221</v>
      </c>
    </row>
    <row r="4" spans="1:7" x14ac:dyDescent="0.25">
      <c r="A4" s="11" t="s">
        <v>7</v>
      </c>
      <c r="B4" s="11" t="s">
        <v>59</v>
      </c>
      <c r="C4" s="12">
        <v>2200</v>
      </c>
      <c r="D4" s="12">
        <v>700</v>
      </c>
      <c r="E4" s="17">
        <v>809</v>
      </c>
      <c r="F4" s="12">
        <v>806283</v>
      </c>
      <c r="G4" s="12">
        <v>996.64153275648948</v>
      </c>
    </row>
    <row r="5" spans="1:7" x14ac:dyDescent="0.25">
      <c r="A5" s="11" t="s">
        <v>8</v>
      </c>
      <c r="B5" s="11" t="s">
        <v>60</v>
      </c>
      <c r="C5" s="12">
        <v>2610</v>
      </c>
      <c r="D5" s="12">
        <v>200</v>
      </c>
      <c r="E5" s="17">
        <v>183225</v>
      </c>
      <c r="F5" s="12">
        <v>268778623</v>
      </c>
      <c r="G5" s="12">
        <v>1466.9320398417246</v>
      </c>
    </row>
    <row r="6" spans="1:7" x14ac:dyDescent="0.25">
      <c r="A6" s="11" t="s">
        <v>9</v>
      </c>
      <c r="B6" s="11" t="s">
        <v>61</v>
      </c>
      <c r="C6" s="12">
        <v>0</v>
      </c>
      <c r="D6" s="12">
        <v>0</v>
      </c>
      <c r="E6" s="17">
        <v>0</v>
      </c>
      <c r="F6" s="12">
        <v>0</v>
      </c>
      <c r="G6" s="12">
        <v>0</v>
      </c>
    </row>
    <row r="7" spans="1:7" x14ac:dyDescent="0.25">
      <c r="A7" s="11" t="s">
        <v>16</v>
      </c>
      <c r="B7" s="11" t="s">
        <v>68</v>
      </c>
      <c r="C7" s="12">
        <v>1900</v>
      </c>
      <c r="D7" s="12">
        <v>200</v>
      </c>
      <c r="E7" s="17">
        <v>55810</v>
      </c>
      <c r="F7" s="12">
        <v>83217768</v>
      </c>
      <c r="G7" s="12">
        <v>1491.0906289195484</v>
      </c>
    </row>
    <row r="8" spans="1:7" x14ac:dyDescent="0.25">
      <c r="A8" s="11" t="s">
        <v>17</v>
      </c>
      <c r="B8" s="11" t="s">
        <v>69</v>
      </c>
      <c r="C8" s="12">
        <v>3000</v>
      </c>
      <c r="D8" s="12">
        <v>30</v>
      </c>
      <c r="E8" s="17">
        <v>25443</v>
      </c>
      <c r="F8" s="12">
        <v>28413083</v>
      </c>
      <c r="G8" s="12">
        <v>1116.7347797036514</v>
      </c>
    </row>
    <row r="9" spans="1:7" x14ac:dyDescent="0.25">
      <c r="A9" s="11" t="s">
        <v>19</v>
      </c>
      <c r="B9" s="11" t="s">
        <v>71</v>
      </c>
      <c r="E9" s="17">
        <v>25296</v>
      </c>
      <c r="F9" s="12">
        <v>80230421</v>
      </c>
      <c r="G9" s="12">
        <v>3171.6643342820998</v>
      </c>
    </row>
    <row r="10" spans="1:7" s="134" customFormat="1" x14ac:dyDescent="0.25">
      <c r="A10" s="47" t="s">
        <v>23</v>
      </c>
      <c r="B10" s="47" t="s">
        <v>75</v>
      </c>
      <c r="C10" s="45">
        <v>8660</v>
      </c>
      <c r="D10" s="45">
        <v>107</v>
      </c>
      <c r="E10" s="141">
        <v>3959</v>
      </c>
      <c r="F10" s="45">
        <v>23921182</v>
      </c>
      <c r="G10" s="45">
        <v>6042.2283404900227</v>
      </c>
    </row>
    <row r="11" spans="1:7" x14ac:dyDescent="0.25">
      <c r="A11" s="11" t="s">
        <v>32</v>
      </c>
      <c r="B11" s="11" t="s">
        <v>84</v>
      </c>
      <c r="E11" s="17">
        <v>93944</v>
      </c>
      <c r="F11" s="12">
        <v>228817450</v>
      </c>
      <c r="G11" s="12">
        <v>2435.6792344375372</v>
      </c>
    </row>
    <row r="12" spans="1:7" x14ac:dyDescent="0.25">
      <c r="A12" s="11" t="s">
        <v>35</v>
      </c>
      <c r="B12" s="11" t="s">
        <v>87</v>
      </c>
      <c r="C12" s="12">
        <v>1300</v>
      </c>
      <c r="D12" s="12">
        <v>200</v>
      </c>
      <c r="E12" s="17">
        <v>20098</v>
      </c>
      <c r="F12" s="12">
        <v>17066501</v>
      </c>
      <c r="G12" s="12">
        <v>849.16414568613789</v>
      </c>
    </row>
    <row r="13" spans="1:7" x14ac:dyDescent="0.25">
      <c r="A13" s="11" t="s">
        <v>112</v>
      </c>
      <c r="B13" s="11" t="s">
        <v>92</v>
      </c>
      <c r="C13" s="12">
        <v>2500</v>
      </c>
      <c r="D13" s="12">
        <v>1</v>
      </c>
      <c r="E13" s="22">
        <v>31004</v>
      </c>
      <c r="F13" s="12">
        <v>31091496</v>
      </c>
      <c r="G13" s="12">
        <v>1002.8220874725841</v>
      </c>
    </row>
    <row r="14" spans="1:7" x14ac:dyDescent="0.25">
      <c r="B14" s="11" t="s">
        <v>93</v>
      </c>
      <c r="C14" s="12">
        <v>3300</v>
      </c>
      <c r="D14" s="12">
        <v>100</v>
      </c>
      <c r="E14" s="22">
        <v>13534</v>
      </c>
      <c r="F14" s="12">
        <v>40528625</v>
      </c>
      <c r="G14" s="12">
        <v>2994.5784690409341</v>
      </c>
    </row>
    <row r="15" spans="1:7" x14ac:dyDescent="0.25">
      <c r="A15" s="11" t="s">
        <v>41</v>
      </c>
      <c r="B15" s="11" t="s">
        <v>95</v>
      </c>
      <c r="C15" s="12">
        <v>4000</v>
      </c>
      <c r="D15" s="12">
        <v>0</v>
      </c>
      <c r="E15" s="22">
        <v>50502</v>
      </c>
      <c r="F15" s="12">
        <v>73059461</v>
      </c>
      <c r="G15" s="12">
        <v>1446.6647063482635</v>
      </c>
    </row>
    <row r="16" spans="1:7" x14ac:dyDescent="0.25">
      <c r="A16" s="11" t="s">
        <v>42</v>
      </c>
      <c r="B16" s="11" t="s">
        <v>96</v>
      </c>
      <c r="C16" s="12">
        <v>14022</v>
      </c>
      <c r="D16" s="12">
        <v>5</v>
      </c>
      <c r="E16" s="22">
        <v>79704</v>
      </c>
      <c r="F16" s="12">
        <v>402575833</v>
      </c>
      <c r="G16" s="12">
        <v>5050.8861914082099</v>
      </c>
    </row>
    <row r="17" spans="1:7" x14ac:dyDescent="0.25">
      <c r="A17" s="11" t="s">
        <v>45</v>
      </c>
      <c r="B17" s="11" t="s">
        <v>99</v>
      </c>
      <c r="C17" s="12">
        <v>0</v>
      </c>
      <c r="D17" s="12">
        <v>0</v>
      </c>
      <c r="E17" s="22">
        <v>72998</v>
      </c>
      <c r="F17" s="12">
        <v>198160752</v>
      </c>
      <c r="G17" s="12">
        <v>2714.6052220608785</v>
      </c>
    </row>
    <row r="18" spans="1:7" x14ac:dyDescent="0.25">
      <c r="A18" s="11" t="s">
        <v>48</v>
      </c>
      <c r="B18" s="11" t="s">
        <v>102</v>
      </c>
      <c r="C18" s="12">
        <v>2800</v>
      </c>
      <c r="D18" s="12">
        <v>300</v>
      </c>
      <c r="E18" s="22">
        <v>16335</v>
      </c>
      <c r="F18" s="12">
        <v>37655757</v>
      </c>
      <c r="G18" s="12">
        <v>2305.2192837465564</v>
      </c>
    </row>
    <row r="19" spans="1:7" s="134" customFormat="1" x14ac:dyDescent="0.25">
      <c r="A19" s="42" t="s">
        <v>195</v>
      </c>
      <c r="B19" s="42"/>
      <c r="C19" s="41"/>
      <c r="D19" s="41"/>
      <c r="E19" s="140">
        <f>SUM(E2:E18)</f>
        <v>683030</v>
      </c>
      <c r="F19" s="41">
        <f>SUM(F2:F18)</f>
        <v>1520099687</v>
      </c>
      <c r="G19" s="41">
        <f>F19/E19</f>
        <v>2225.5240428678098</v>
      </c>
    </row>
    <row r="20" spans="1:7" x14ac:dyDescent="0.25">
      <c r="E20" s="22"/>
    </row>
    <row r="21" spans="1:7" x14ac:dyDescent="0.25">
      <c r="A21" s="11" t="s">
        <v>1</v>
      </c>
      <c r="B21" s="11" t="s">
        <v>53</v>
      </c>
      <c r="C21" s="12">
        <v>4000</v>
      </c>
      <c r="D21" s="12">
        <v>500</v>
      </c>
      <c r="E21" s="17">
        <v>2543</v>
      </c>
      <c r="F21" s="12">
        <v>5850402</v>
      </c>
      <c r="G21" s="12">
        <v>2300.5906409752261</v>
      </c>
    </row>
    <row r="22" spans="1:7" x14ac:dyDescent="0.25">
      <c r="A22" s="11" t="s">
        <v>2</v>
      </c>
      <c r="B22" s="11" t="s">
        <v>54</v>
      </c>
      <c r="C22" s="12">
        <v>2500</v>
      </c>
      <c r="D22" s="12">
        <v>100</v>
      </c>
      <c r="E22" s="17">
        <v>3046</v>
      </c>
      <c r="F22" s="12">
        <v>2315071</v>
      </c>
      <c r="G22" s="12">
        <v>760.03644123440574</v>
      </c>
    </row>
    <row r="23" spans="1:7" x14ac:dyDescent="0.25">
      <c r="A23" s="11" t="s">
        <v>4</v>
      </c>
      <c r="B23" s="11" t="s">
        <v>56</v>
      </c>
      <c r="C23" s="12">
        <v>14242</v>
      </c>
      <c r="D23" s="12">
        <v>1094</v>
      </c>
      <c r="E23" s="17">
        <v>371091</v>
      </c>
      <c r="F23" s="12">
        <v>2122491366</v>
      </c>
      <c r="G23" s="12">
        <v>5719.5980662425118</v>
      </c>
    </row>
    <row r="24" spans="1:7" x14ac:dyDescent="0.25">
      <c r="A24" s="11" t="s">
        <v>5</v>
      </c>
      <c r="B24" s="11" t="s">
        <v>57</v>
      </c>
      <c r="C24" s="12">
        <v>13750</v>
      </c>
      <c r="D24" s="12">
        <v>0</v>
      </c>
      <c r="E24" s="17">
        <v>56876</v>
      </c>
      <c r="F24" s="12">
        <v>132360133</v>
      </c>
      <c r="G24" s="12">
        <v>2327.1702123918699</v>
      </c>
    </row>
    <row r="25" spans="1:7" x14ac:dyDescent="0.25">
      <c r="A25" s="11" t="s">
        <v>6</v>
      </c>
      <c r="B25" s="11" t="s">
        <v>58</v>
      </c>
      <c r="C25" s="12">
        <v>4500</v>
      </c>
      <c r="D25" s="12">
        <v>1</v>
      </c>
      <c r="E25" s="17">
        <v>9362</v>
      </c>
      <c r="F25" s="12">
        <v>24119136</v>
      </c>
      <c r="G25" s="12">
        <v>2576.2802819910276</v>
      </c>
    </row>
    <row r="26" spans="1:7" x14ac:dyDescent="0.25">
      <c r="A26" s="11" t="s">
        <v>10</v>
      </c>
      <c r="B26" s="11" t="s">
        <v>62</v>
      </c>
      <c r="C26" s="12">
        <v>10000</v>
      </c>
      <c r="D26" s="12">
        <v>5</v>
      </c>
      <c r="E26" s="17">
        <v>1378</v>
      </c>
      <c r="F26" s="12">
        <v>1640463</v>
      </c>
      <c r="G26" s="12">
        <v>1190.466618287373</v>
      </c>
    </row>
    <row r="27" spans="1:7" x14ac:dyDescent="0.25">
      <c r="A27" s="11" t="s">
        <v>11</v>
      </c>
      <c r="B27" s="11" t="s">
        <v>63</v>
      </c>
      <c r="C27" s="12">
        <v>3500</v>
      </c>
      <c r="D27" s="12">
        <v>0</v>
      </c>
      <c r="E27" s="17">
        <v>4308</v>
      </c>
      <c r="F27" s="12">
        <v>14018558</v>
      </c>
      <c r="G27" s="12">
        <v>3254.0756731662023</v>
      </c>
    </row>
    <row r="28" spans="1:7" x14ac:dyDescent="0.25">
      <c r="A28" s="11" t="s">
        <v>12</v>
      </c>
      <c r="B28" s="11" t="s">
        <v>64</v>
      </c>
      <c r="C28" s="12">
        <v>4869</v>
      </c>
      <c r="D28" s="12">
        <v>300</v>
      </c>
      <c r="E28" s="17">
        <v>128865</v>
      </c>
      <c r="F28" s="12">
        <v>392242956</v>
      </c>
      <c r="G28" s="12">
        <v>3043.8284716563844</v>
      </c>
    </row>
    <row r="29" spans="1:7" x14ac:dyDescent="0.25">
      <c r="A29" s="11" t="s">
        <v>13</v>
      </c>
      <c r="B29" s="11" t="s">
        <v>65</v>
      </c>
      <c r="C29" s="12">
        <v>10300</v>
      </c>
      <c r="D29" s="12">
        <v>78</v>
      </c>
      <c r="E29" s="17">
        <v>35969</v>
      </c>
      <c r="F29" s="12">
        <v>148388765</v>
      </c>
      <c r="G29" s="12">
        <v>4125.4626205899522</v>
      </c>
    </row>
    <row r="30" spans="1:7" x14ac:dyDescent="0.25">
      <c r="A30" s="11" t="s">
        <v>14</v>
      </c>
      <c r="B30" s="11" t="s">
        <v>66</v>
      </c>
      <c r="C30" s="12">
        <v>9064</v>
      </c>
      <c r="D30" s="12">
        <v>0</v>
      </c>
      <c r="E30" s="17">
        <v>10097</v>
      </c>
      <c r="F30" s="12">
        <v>46551716</v>
      </c>
      <c r="G30" s="12">
        <v>4610.4502327423988</v>
      </c>
    </row>
    <row r="31" spans="1:7" x14ac:dyDescent="0.25">
      <c r="A31" s="11" t="s">
        <v>15</v>
      </c>
      <c r="B31" s="11" t="s">
        <v>67</v>
      </c>
      <c r="C31" s="12">
        <v>3500</v>
      </c>
      <c r="D31" s="12">
        <v>100</v>
      </c>
      <c r="E31" s="17">
        <v>9200</v>
      </c>
      <c r="F31" s="12">
        <v>15758338</v>
      </c>
      <c r="G31" s="12">
        <v>1712.8628260869566</v>
      </c>
    </row>
    <row r="32" spans="1:7" x14ac:dyDescent="0.25">
      <c r="A32" s="11" t="s">
        <v>18</v>
      </c>
      <c r="B32" s="11" t="s">
        <v>70</v>
      </c>
      <c r="C32" s="12">
        <v>1500</v>
      </c>
      <c r="D32" s="12">
        <v>375</v>
      </c>
      <c r="E32" s="17">
        <v>12799</v>
      </c>
      <c r="F32" s="12">
        <v>14997790</v>
      </c>
      <c r="G32" s="12">
        <v>1171.7938901476678</v>
      </c>
    </row>
    <row r="33" spans="1:7" x14ac:dyDescent="0.25">
      <c r="A33" s="11" t="s">
        <v>20</v>
      </c>
      <c r="B33" s="11" t="s">
        <v>72</v>
      </c>
      <c r="C33" s="12">
        <v>1800</v>
      </c>
      <c r="D33" s="12">
        <v>300</v>
      </c>
      <c r="E33" s="17">
        <v>48650</v>
      </c>
      <c r="F33" s="12">
        <v>48630273</v>
      </c>
      <c r="G33" s="12">
        <v>999.59451181911618</v>
      </c>
    </row>
    <row r="34" spans="1:7" x14ac:dyDescent="0.25">
      <c r="A34" s="11" t="s">
        <v>21</v>
      </c>
      <c r="B34" s="11" t="s">
        <v>73</v>
      </c>
      <c r="C34" s="12">
        <v>1000</v>
      </c>
      <c r="D34" s="12">
        <v>100</v>
      </c>
      <c r="E34" s="17">
        <v>30730</v>
      </c>
      <c r="F34" s="12">
        <v>34677384</v>
      </c>
      <c r="G34" s="12">
        <v>1128.4537585421413</v>
      </c>
    </row>
    <row r="35" spans="1:7" x14ac:dyDescent="0.25">
      <c r="A35" s="11" t="s">
        <v>22</v>
      </c>
      <c r="B35" s="11" t="s">
        <v>74</v>
      </c>
      <c r="C35" s="12">
        <v>12345</v>
      </c>
      <c r="D35" s="12">
        <v>100</v>
      </c>
      <c r="E35" s="17">
        <v>79805</v>
      </c>
      <c r="F35" s="12">
        <v>207694104</v>
      </c>
      <c r="G35" s="12">
        <v>2602.5199423595013</v>
      </c>
    </row>
    <row r="36" spans="1:7" x14ac:dyDescent="0.25">
      <c r="A36" s="11" t="s">
        <v>24</v>
      </c>
      <c r="B36" s="11" t="s">
        <v>76</v>
      </c>
      <c r="C36" s="12">
        <v>2850</v>
      </c>
      <c r="D36" s="12">
        <v>300</v>
      </c>
      <c r="E36" s="17">
        <v>44208</v>
      </c>
      <c r="F36" s="12">
        <v>67909710</v>
      </c>
      <c r="G36" s="12">
        <v>1536.1407437567862</v>
      </c>
    </row>
    <row r="37" spans="1:7" x14ac:dyDescent="0.25">
      <c r="A37" s="11" t="s">
        <v>25</v>
      </c>
      <c r="B37" s="11" t="s">
        <v>77</v>
      </c>
      <c r="C37" s="12">
        <v>0</v>
      </c>
      <c r="D37" s="12">
        <v>0</v>
      </c>
      <c r="E37" s="17">
        <v>0</v>
      </c>
      <c r="F37" s="12">
        <v>458160</v>
      </c>
      <c r="G37" s="12">
        <v>0</v>
      </c>
    </row>
    <row r="38" spans="1:7" x14ac:dyDescent="0.25">
      <c r="A38" s="11" t="s">
        <v>26</v>
      </c>
      <c r="B38" s="11" t="s">
        <v>78</v>
      </c>
      <c r="C38" s="12">
        <v>4458</v>
      </c>
      <c r="D38" s="12">
        <v>0</v>
      </c>
      <c r="E38" s="17">
        <v>12753</v>
      </c>
      <c r="F38" s="12">
        <v>17978264</v>
      </c>
      <c r="G38" s="12">
        <v>1409.7282208107897</v>
      </c>
    </row>
    <row r="39" spans="1:7" x14ac:dyDescent="0.25">
      <c r="A39" s="11" t="s">
        <v>27</v>
      </c>
      <c r="B39" s="11" t="s">
        <v>79</v>
      </c>
      <c r="C39" s="12">
        <v>5500</v>
      </c>
      <c r="D39" s="12">
        <v>107</v>
      </c>
      <c r="E39" s="17">
        <v>1866</v>
      </c>
      <c r="F39" s="12">
        <v>4996808</v>
      </c>
      <c r="G39" s="12">
        <v>2677.8177920685957</v>
      </c>
    </row>
    <row r="40" spans="1:7" x14ac:dyDescent="0.25">
      <c r="A40" s="11" t="s">
        <v>28</v>
      </c>
      <c r="B40" s="11" t="s">
        <v>80</v>
      </c>
      <c r="C40" s="12">
        <v>0</v>
      </c>
      <c r="D40" s="12">
        <v>0</v>
      </c>
      <c r="E40" s="17">
        <v>0</v>
      </c>
      <c r="F40" s="12">
        <v>3000000</v>
      </c>
      <c r="G40" s="12">
        <v>0</v>
      </c>
    </row>
    <row r="41" spans="1:7" x14ac:dyDescent="0.25">
      <c r="A41" s="11" t="s">
        <v>29</v>
      </c>
      <c r="B41" s="11" t="s">
        <v>81</v>
      </c>
      <c r="C41" s="12">
        <v>12938</v>
      </c>
      <c r="D41" s="12">
        <v>1220</v>
      </c>
      <c r="E41" s="17">
        <v>66592</v>
      </c>
      <c r="F41" s="12">
        <v>440509374</v>
      </c>
      <c r="G41" s="12">
        <v>6615.0494654012491</v>
      </c>
    </row>
    <row r="42" spans="1:7" x14ac:dyDescent="0.25">
      <c r="A42" s="11" t="s">
        <v>30</v>
      </c>
      <c r="B42" s="11" t="s">
        <v>82</v>
      </c>
      <c r="C42" s="12">
        <v>2500</v>
      </c>
      <c r="D42" s="12">
        <v>0</v>
      </c>
      <c r="E42" s="17">
        <v>15847</v>
      </c>
      <c r="F42" s="12">
        <v>11350097</v>
      </c>
      <c r="G42" s="12">
        <v>716.23001198965108</v>
      </c>
    </row>
    <row r="43" spans="1:7" x14ac:dyDescent="0.25">
      <c r="A43" s="11" t="s">
        <v>31</v>
      </c>
      <c r="B43" s="11" t="s">
        <v>83</v>
      </c>
      <c r="C43" s="12">
        <v>5165</v>
      </c>
      <c r="D43" s="12">
        <v>500</v>
      </c>
      <c r="E43" s="17">
        <v>266194</v>
      </c>
      <c r="F43" s="12">
        <v>881531000</v>
      </c>
      <c r="G43" s="12">
        <v>3311.6110806404354</v>
      </c>
    </row>
    <row r="44" spans="1:7" x14ac:dyDescent="0.25">
      <c r="A44" s="11" t="s">
        <v>33</v>
      </c>
      <c r="B44" s="11" t="s">
        <v>85</v>
      </c>
      <c r="C44" s="12">
        <v>2925</v>
      </c>
      <c r="D44" s="12">
        <v>12</v>
      </c>
      <c r="E44" s="17">
        <v>5574</v>
      </c>
      <c r="F44" s="12">
        <v>9579871</v>
      </c>
      <c r="G44" s="12">
        <v>1718.6707929673485</v>
      </c>
    </row>
    <row r="45" spans="1:7" x14ac:dyDescent="0.25">
      <c r="A45" s="11" t="s">
        <v>34</v>
      </c>
      <c r="B45" s="11" t="s">
        <v>86</v>
      </c>
      <c r="C45" s="12">
        <v>3000</v>
      </c>
      <c r="D45" s="12">
        <v>300</v>
      </c>
      <c r="E45" s="17">
        <v>60756</v>
      </c>
      <c r="F45" s="12">
        <v>94341561</v>
      </c>
      <c r="G45" s="12">
        <v>1552.7941437882678</v>
      </c>
    </row>
    <row r="46" spans="1:7" x14ac:dyDescent="0.25">
      <c r="A46" s="11" t="s">
        <v>36</v>
      </c>
      <c r="B46" s="11" t="s">
        <v>88</v>
      </c>
      <c r="C46" s="12">
        <v>3300</v>
      </c>
      <c r="D46" s="12">
        <v>1</v>
      </c>
      <c r="E46" s="17">
        <v>32794</v>
      </c>
      <c r="F46" s="12">
        <v>74656561</v>
      </c>
      <c r="G46" s="12">
        <v>2276.5311032505947</v>
      </c>
    </row>
    <row r="47" spans="1:7" x14ac:dyDescent="0.25">
      <c r="A47" s="11" t="s">
        <v>37</v>
      </c>
      <c r="B47" s="11" t="s">
        <v>89</v>
      </c>
      <c r="C47" s="12">
        <v>4123</v>
      </c>
      <c r="D47" s="12">
        <v>500</v>
      </c>
      <c r="E47" s="17">
        <v>143647</v>
      </c>
      <c r="F47" s="12">
        <v>350346062</v>
      </c>
      <c r="G47" s="12">
        <v>2438.9375482954742</v>
      </c>
    </row>
    <row r="48" spans="1:7" x14ac:dyDescent="0.25">
      <c r="A48" s="11" t="s">
        <v>38</v>
      </c>
      <c r="B48" s="11" t="s">
        <v>90</v>
      </c>
      <c r="C48" s="12">
        <v>0</v>
      </c>
      <c r="D48" s="12">
        <v>0</v>
      </c>
      <c r="E48" s="17">
        <v>12799</v>
      </c>
      <c r="F48" s="12">
        <v>6333612</v>
      </c>
      <c r="G48" s="12">
        <v>494.85209782014221</v>
      </c>
    </row>
    <row r="49" spans="1:7" x14ac:dyDescent="0.25">
      <c r="A49" s="11" t="s">
        <v>39</v>
      </c>
      <c r="B49" s="11" t="s">
        <v>91</v>
      </c>
      <c r="C49" s="12">
        <v>0</v>
      </c>
      <c r="D49" s="12">
        <v>0</v>
      </c>
      <c r="E49" s="17">
        <v>11950</v>
      </c>
      <c r="F49" s="12">
        <v>10530000</v>
      </c>
      <c r="G49" s="12">
        <v>881.17154811715477</v>
      </c>
    </row>
    <row r="50" spans="1:7" x14ac:dyDescent="0.25">
      <c r="A50" s="11" t="s">
        <v>40</v>
      </c>
      <c r="B50" s="11" t="s">
        <v>94</v>
      </c>
      <c r="C50" s="12">
        <v>2588</v>
      </c>
      <c r="D50" s="12">
        <v>53</v>
      </c>
      <c r="E50" s="22">
        <v>308</v>
      </c>
      <c r="F50" s="12">
        <v>203290</v>
      </c>
      <c r="G50" s="12">
        <v>660.03246753246754</v>
      </c>
    </row>
    <row r="51" spans="1:7" x14ac:dyDescent="0.25">
      <c r="A51" s="11" t="s">
        <v>43</v>
      </c>
      <c r="B51" s="11" t="s">
        <v>97</v>
      </c>
      <c r="C51" s="12">
        <v>5000</v>
      </c>
      <c r="D51" s="12">
        <v>300</v>
      </c>
      <c r="E51" s="22">
        <v>2371</v>
      </c>
      <c r="F51" s="12">
        <v>2080368</v>
      </c>
      <c r="G51" s="12">
        <v>877.42218473218054</v>
      </c>
    </row>
    <row r="52" spans="1:7" x14ac:dyDescent="0.25">
      <c r="A52" s="11" t="s">
        <v>44</v>
      </c>
      <c r="B52" s="11" t="s">
        <v>98</v>
      </c>
      <c r="C52" s="12">
        <v>12200</v>
      </c>
      <c r="D52" s="12">
        <v>1000</v>
      </c>
      <c r="E52" s="22">
        <v>7782</v>
      </c>
      <c r="F52" s="12">
        <v>15703270</v>
      </c>
      <c r="G52" s="12">
        <v>2017.8964276535594</v>
      </c>
    </row>
    <row r="53" spans="1:7" x14ac:dyDescent="0.25">
      <c r="A53" s="11" t="s">
        <v>46</v>
      </c>
      <c r="B53" s="11" t="s">
        <v>100</v>
      </c>
      <c r="C53" s="12">
        <v>9745</v>
      </c>
      <c r="D53" s="12">
        <v>1</v>
      </c>
      <c r="E53" s="22">
        <v>71781</v>
      </c>
      <c r="F53" s="12">
        <v>323796771</v>
      </c>
      <c r="G53" s="12">
        <v>4510.8980231537589</v>
      </c>
    </row>
    <row r="54" spans="1:7" x14ac:dyDescent="0.25">
      <c r="A54" s="11" t="s">
        <v>47</v>
      </c>
      <c r="B54" s="11" t="s">
        <v>101</v>
      </c>
      <c r="C54" s="12">
        <v>6000</v>
      </c>
      <c r="D54" s="12">
        <v>113</v>
      </c>
      <c r="E54" s="22">
        <v>219</v>
      </c>
      <c r="F54" s="12">
        <v>831768</v>
      </c>
      <c r="G54" s="12">
        <v>3798.027397260274</v>
      </c>
    </row>
    <row r="55" spans="1:7" x14ac:dyDescent="0.25">
      <c r="A55" s="11" t="s">
        <v>49</v>
      </c>
      <c r="B55" s="11" t="s">
        <v>103</v>
      </c>
      <c r="C55" s="12">
        <v>3228</v>
      </c>
      <c r="D55" s="12">
        <v>250</v>
      </c>
      <c r="E55" s="22">
        <v>69527</v>
      </c>
      <c r="F55" s="12">
        <v>112456111</v>
      </c>
      <c r="G55" s="12">
        <v>1617.4451795705265</v>
      </c>
    </row>
    <row r="56" spans="1:7" x14ac:dyDescent="0.25">
      <c r="A56" s="11" t="s">
        <v>50</v>
      </c>
      <c r="B56" s="11" t="s">
        <v>61</v>
      </c>
      <c r="C56" s="12">
        <v>0</v>
      </c>
      <c r="D56" s="12">
        <v>0</v>
      </c>
      <c r="E56" s="22">
        <v>0</v>
      </c>
      <c r="F56" s="12">
        <v>0</v>
      </c>
      <c r="G56" s="12">
        <v>0</v>
      </c>
    </row>
    <row r="57" spans="1:7" s="134" customFormat="1" x14ac:dyDescent="0.25">
      <c r="A57" s="42" t="s">
        <v>51</v>
      </c>
      <c r="B57" s="42"/>
      <c r="C57" s="41"/>
      <c r="D57" s="41"/>
      <c r="E57" s="140">
        <f>SUM(E19,E21:E56)</f>
        <v>2314717</v>
      </c>
      <c r="F57" s="41">
        <f>SUM(F19,F21:F56)</f>
        <v>7160428800</v>
      </c>
      <c r="G57" s="41">
        <f>F57/E57</f>
        <v>3093.435957829834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F06BD-8641-443B-9CE0-3664C65BAEC3}">
  <dimension ref="A1:M26"/>
  <sheetViews>
    <sheetView workbookViewId="0">
      <selection activeCell="Q1" sqref="Q1"/>
    </sheetView>
  </sheetViews>
  <sheetFormatPr defaultColWidth="8.85546875" defaultRowHeight="15" x14ac:dyDescent="0.25"/>
  <cols>
    <col min="1" max="2" width="9.7109375" style="33" customWidth="1"/>
    <col min="3" max="3" width="10.28515625" style="33" customWidth="1"/>
    <col min="4" max="4" width="11" style="72" customWidth="1"/>
    <col min="5" max="5" width="10.7109375" style="33" customWidth="1"/>
    <col min="6" max="6" width="10.140625" style="33" customWidth="1"/>
    <col min="7" max="7" width="10.42578125" style="33" customWidth="1"/>
    <col min="8" max="8" width="10.5703125" style="72" customWidth="1"/>
    <col min="9" max="9" width="10.7109375" style="78" customWidth="1"/>
    <col min="10" max="10" width="12.28515625" style="38" customWidth="1"/>
    <col min="11" max="13" width="12.28515625" style="33" hidden="1" customWidth="1"/>
    <col min="14" max="16384" width="8.85546875" style="38"/>
  </cols>
  <sheetData>
    <row r="1" spans="1:13" s="34" customFormat="1" ht="60" x14ac:dyDescent="0.25">
      <c r="A1" s="27" t="s">
        <v>152</v>
      </c>
      <c r="B1" s="27" t="s">
        <v>178</v>
      </c>
      <c r="C1" s="27" t="s">
        <v>182</v>
      </c>
      <c r="D1" s="73" t="s">
        <v>179</v>
      </c>
      <c r="E1" s="27" t="s">
        <v>181</v>
      </c>
      <c r="F1" s="27" t="s">
        <v>177</v>
      </c>
      <c r="G1" s="27" t="s">
        <v>182</v>
      </c>
      <c r="H1" s="73" t="s">
        <v>180</v>
      </c>
      <c r="I1" s="77" t="s">
        <v>181</v>
      </c>
      <c r="J1" s="27" t="s">
        <v>153</v>
      </c>
      <c r="K1" s="30" t="s">
        <v>184</v>
      </c>
      <c r="L1" s="30" t="s">
        <v>186</v>
      </c>
      <c r="M1" s="30" t="s">
        <v>185</v>
      </c>
    </row>
    <row r="2" spans="1:13" s="34" customFormat="1" x14ac:dyDescent="0.25">
      <c r="A2" s="34" t="s">
        <v>176</v>
      </c>
      <c r="B2" s="35">
        <v>500</v>
      </c>
      <c r="C2" s="35">
        <f>$K$2*L2</f>
        <v>500</v>
      </c>
      <c r="D2" s="35">
        <v>934</v>
      </c>
      <c r="E2" s="74">
        <f>B2/D2</f>
        <v>0.53533190578158463</v>
      </c>
      <c r="F2" s="35">
        <v>1000</v>
      </c>
      <c r="G2" s="35">
        <f t="shared" ref="G2:G26" si="0">$K$2*M2</f>
        <v>1000</v>
      </c>
      <c r="H2" s="35">
        <v>2426</v>
      </c>
      <c r="I2" s="74">
        <f>F2/H2</f>
        <v>0.41220115416323166</v>
      </c>
      <c r="J2" s="29">
        <v>156.9</v>
      </c>
      <c r="K2" s="31">
        <f t="shared" ref="K2:K4" si="1">J2/100</f>
        <v>1.569</v>
      </c>
      <c r="L2" s="31">
        <f>B2/K2</f>
        <v>318.67431485022308</v>
      </c>
      <c r="M2" s="32">
        <f t="shared" ref="M2:M26" si="2">F2/K2</f>
        <v>637.34862970044617</v>
      </c>
    </row>
    <row r="3" spans="1:13" x14ac:dyDescent="0.25">
      <c r="A3" s="36" t="s">
        <v>154</v>
      </c>
      <c r="B3" s="35">
        <v>500</v>
      </c>
      <c r="C3" s="35">
        <f t="shared" ref="C3:C26" si="3">$K$2*L3</f>
        <v>493.70673379483947</v>
      </c>
      <c r="D3" s="35">
        <v>960</v>
      </c>
      <c r="E3" s="74">
        <f t="shared" ref="E3:E26" si="4">B3/D3</f>
        <v>0.52083333333333337</v>
      </c>
      <c r="F3" s="35">
        <v>1000</v>
      </c>
      <c r="G3" s="35">
        <f t="shared" si="0"/>
        <v>987.41346758967893</v>
      </c>
      <c r="H3" s="75">
        <v>2513</v>
      </c>
      <c r="I3" s="74">
        <f t="shared" ref="I3:I26" si="5">F3/H3</f>
        <v>0.39793076004775169</v>
      </c>
      <c r="J3" s="37">
        <v>158.9</v>
      </c>
      <c r="K3" s="31">
        <f t="shared" si="1"/>
        <v>1.589</v>
      </c>
      <c r="L3" s="31">
        <f t="shared" ref="L3:L26" si="6">B3/K3</f>
        <v>314.6633102580239</v>
      </c>
      <c r="M3" s="32">
        <f t="shared" si="2"/>
        <v>629.3266205160478</v>
      </c>
    </row>
    <row r="4" spans="1:13" x14ac:dyDescent="0.25">
      <c r="A4" s="36" t="s">
        <v>155</v>
      </c>
      <c r="B4" s="35">
        <v>500</v>
      </c>
      <c r="C4" s="35">
        <f t="shared" si="3"/>
        <v>484.25925925925924</v>
      </c>
      <c r="D4" s="35">
        <v>972</v>
      </c>
      <c r="E4" s="74">
        <f t="shared" si="4"/>
        <v>0.51440329218106995</v>
      </c>
      <c r="F4" s="35">
        <v>1000</v>
      </c>
      <c r="G4" s="35">
        <f t="shared" si="0"/>
        <v>968.51851851851848</v>
      </c>
      <c r="H4" s="75">
        <v>2764</v>
      </c>
      <c r="I4" s="74">
        <f t="shared" si="5"/>
        <v>0.36179450072358899</v>
      </c>
      <c r="J4" s="37">
        <v>162</v>
      </c>
      <c r="K4" s="31">
        <f t="shared" si="1"/>
        <v>1.62</v>
      </c>
      <c r="L4" s="31">
        <f t="shared" si="6"/>
        <v>308.64197530864197</v>
      </c>
      <c r="M4" s="32">
        <f t="shared" si="2"/>
        <v>617.28395061728395</v>
      </c>
    </row>
    <row r="5" spans="1:13" x14ac:dyDescent="0.25">
      <c r="A5" s="36" t="s">
        <v>156</v>
      </c>
      <c r="B5" s="35">
        <v>500</v>
      </c>
      <c r="C5" s="35">
        <f t="shared" si="3"/>
        <v>469.19856459330146</v>
      </c>
      <c r="D5" s="35">
        <v>1015</v>
      </c>
      <c r="E5" s="74">
        <f t="shared" si="4"/>
        <v>0.49261083743842365</v>
      </c>
      <c r="F5" s="35">
        <v>1000</v>
      </c>
      <c r="G5" s="35">
        <f t="shared" si="0"/>
        <v>938.39712918660291</v>
      </c>
      <c r="H5" s="75">
        <v>2764</v>
      </c>
      <c r="I5" s="74">
        <f t="shared" si="5"/>
        <v>0.36179450072358899</v>
      </c>
      <c r="J5" s="39">
        <v>167.2</v>
      </c>
      <c r="K5" s="31">
        <f t="shared" ref="K5:K26" si="7">J5/100</f>
        <v>1.6719999999999999</v>
      </c>
      <c r="L5" s="31">
        <f t="shared" si="6"/>
        <v>299.04306220095697</v>
      </c>
      <c r="M5" s="32">
        <f t="shared" si="2"/>
        <v>598.08612440191393</v>
      </c>
    </row>
    <row r="6" spans="1:13" x14ac:dyDescent="0.25">
      <c r="A6" s="36" t="s">
        <v>157</v>
      </c>
      <c r="B6" s="35">
        <v>500</v>
      </c>
      <c r="C6" s="35">
        <f t="shared" si="3"/>
        <v>458.50379894798363</v>
      </c>
      <c r="D6" s="35">
        <v>1073</v>
      </c>
      <c r="E6" s="74">
        <f t="shared" si="4"/>
        <v>0.46598322460391428</v>
      </c>
      <c r="F6" s="35">
        <v>1000</v>
      </c>
      <c r="G6" s="35">
        <f t="shared" si="0"/>
        <v>917.00759789596725</v>
      </c>
      <c r="H6" s="75">
        <v>2864</v>
      </c>
      <c r="I6" s="74">
        <f t="shared" si="5"/>
        <v>0.34916201117318435</v>
      </c>
      <c r="J6" s="39">
        <v>171.1</v>
      </c>
      <c r="K6" s="31">
        <f t="shared" si="7"/>
        <v>1.7109999999999999</v>
      </c>
      <c r="L6" s="31">
        <f t="shared" si="6"/>
        <v>292.22676797194623</v>
      </c>
      <c r="M6" s="32">
        <f t="shared" si="2"/>
        <v>584.45353594389246</v>
      </c>
    </row>
    <row r="7" spans="1:13" x14ac:dyDescent="0.25">
      <c r="A7" s="36" t="s">
        <v>158</v>
      </c>
      <c r="B7" s="35">
        <v>500</v>
      </c>
      <c r="C7" s="35">
        <f t="shared" si="3"/>
        <v>452.68320830929019</v>
      </c>
      <c r="D7" s="35">
        <v>1278</v>
      </c>
      <c r="E7" s="74">
        <f t="shared" si="4"/>
        <v>0.39123630672926446</v>
      </c>
      <c r="F7" s="35">
        <v>1000</v>
      </c>
      <c r="G7" s="35">
        <f t="shared" si="0"/>
        <v>905.36641661858039</v>
      </c>
      <c r="H7" s="75">
        <v>3294</v>
      </c>
      <c r="I7" s="74">
        <f t="shared" si="5"/>
        <v>0.30358227079538552</v>
      </c>
      <c r="J7" s="39">
        <v>173.3</v>
      </c>
      <c r="K7" s="31">
        <f t="shared" si="7"/>
        <v>1.7330000000000001</v>
      </c>
      <c r="L7" s="31">
        <f t="shared" si="6"/>
        <v>288.51702250432771</v>
      </c>
      <c r="M7" s="32">
        <f t="shared" si="2"/>
        <v>577.03404500865543</v>
      </c>
    </row>
    <row r="8" spans="1:13" x14ac:dyDescent="0.25">
      <c r="A8" s="36" t="s">
        <v>159</v>
      </c>
      <c r="B8" s="35">
        <v>500</v>
      </c>
      <c r="C8" s="35">
        <f t="shared" si="3"/>
        <v>442.47038917089668</v>
      </c>
      <c r="D8" s="35">
        <v>1396</v>
      </c>
      <c r="E8" s="74">
        <f t="shared" si="4"/>
        <v>0.35816618911174786</v>
      </c>
      <c r="F8" s="35">
        <v>1000</v>
      </c>
      <c r="G8" s="35">
        <f t="shared" si="0"/>
        <v>884.94077834179336</v>
      </c>
      <c r="H8" s="75">
        <v>3599</v>
      </c>
      <c r="I8" s="74">
        <f t="shared" si="5"/>
        <v>0.27785495971103086</v>
      </c>
      <c r="J8" s="39">
        <v>177.3</v>
      </c>
      <c r="K8" s="31">
        <f t="shared" si="7"/>
        <v>1.7730000000000001</v>
      </c>
      <c r="L8" s="31">
        <f t="shared" si="6"/>
        <v>282.00789622109414</v>
      </c>
      <c r="M8" s="32">
        <f t="shared" si="2"/>
        <v>564.01579244218829</v>
      </c>
    </row>
    <row r="9" spans="1:13" x14ac:dyDescent="0.25">
      <c r="A9" s="36" t="s">
        <v>160</v>
      </c>
      <c r="B9" s="35">
        <v>500</v>
      </c>
      <c r="C9" s="35">
        <f t="shared" si="3"/>
        <v>431.51815181518145</v>
      </c>
      <c r="D9" s="35">
        <v>1419</v>
      </c>
      <c r="E9" s="74">
        <f t="shared" si="4"/>
        <v>0.35236081747709652</v>
      </c>
      <c r="F9" s="35">
        <v>1000</v>
      </c>
      <c r="G9" s="35">
        <f t="shared" si="0"/>
        <v>863.03630363036291</v>
      </c>
      <c r="H9" s="75">
        <v>3599</v>
      </c>
      <c r="I9" s="74">
        <f t="shared" si="5"/>
        <v>0.27785495971103086</v>
      </c>
      <c r="J9" s="39">
        <v>181.8</v>
      </c>
      <c r="K9" s="31">
        <f t="shared" si="7"/>
        <v>1.8180000000000001</v>
      </c>
      <c r="L9" s="31">
        <f t="shared" si="6"/>
        <v>275.027502750275</v>
      </c>
      <c r="M9" s="32">
        <f t="shared" si="2"/>
        <v>550.05500550055001</v>
      </c>
    </row>
    <row r="10" spans="1:13" x14ac:dyDescent="0.25">
      <c r="A10" s="36" t="s">
        <v>161</v>
      </c>
      <c r="B10" s="35">
        <v>500</v>
      </c>
      <c r="C10" s="35">
        <f t="shared" si="3"/>
        <v>416.62241104620284</v>
      </c>
      <c r="D10" s="35">
        <v>1561</v>
      </c>
      <c r="E10" s="74">
        <f t="shared" si="4"/>
        <v>0.32030749519538759</v>
      </c>
      <c r="F10" s="35">
        <v>1000</v>
      </c>
      <c r="G10" s="35">
        <f t="shared" si="0"/>
        <v>833.24482209240568</v>
      </c>
      <c r="H10" s="75">
        <v>3850</v>
      </c>
      <c r="I10" s="74">
        <f t="shared" si="5"/>
        <v>0.25974025974025972</v>
      </c>
      <c r="J10" s="39">
        <v>188.3</v>
      </c>
      <c r="K10" s="31">
        <f t="shared" si="7"/>
        <v>1.883</v>
      </c>
      <c r="L10" s="31">
        <f t="shared" si="6"/>
        <v>265.5337227827934</v>
      </c>
      <c r="M10" s="32">
        <f t="shared" si="2"/>
        <v>531.06744556558681</v>
      </c>
    </row>
    <row r="11" spans="1:13" x14ac:dyDescent="0.25">
      <c r="A11" s="36" t="s">
        <v>162</v>
      </c>
      <c r="B11" s="35">
        <v>500</v>
      </c>
      <c r="C11" s="35">
        <f t="shared" si="3"/>
        <v>402.9275808936826</v>
      </c>
      <c r="D11" s="35">
        <v>1692</v>
      </c>
      <c r="E11" s="74">
        <f t="shared" si="4"/>
        <v>0.29550827423167847</v>
      </c>
      <c r="F11" s="35">
        <v>1000</v>
      </c>
      <c r="G11" s="35">
        <f t="shared" si="0"/>
        <v>805.8551617873652</v>
      </c>
      <c r="H11" s="75">
        <v>4038</v>
      </c>
      <c r="I11" s="74">
        <f t="shared" si="5"/>
        <v>0.24764735017335315</v>
      </c>
      <c r="J11" s="39">
        <v>194.7</v>
      </c>
      <c r="K11" s="31">
        <f t="shared" si="7"/>
        <v>1.9469999999999998</v>
      </c>
      <c r="L11" s="31">
        <f t="shared" si="6"/>
        <v>256.80534155110428</v>
      </c>
      <c r="M11" s="32">
        <f t="shared" si="2"/>
        <v>513.61068310220855</v>
      </c>
    </row>
    <row r="12" spans="1:13" x14ac:dyDescent="0.25">
      <c r="A12" s="36" t="s">
        <v>163</v>
      </c>
      <c r="B12" s="35">
        <v>500</v>
      </c>
      <c r="C12" s="35">
        <f t="shared" si="3"/>
        <v>391.54326440774395</v>
      </c>
      <c r="D12" s="35">
        <v>1712</v>
      </c>
      <c r="E12" s="74">
        <f t="shared" si="4"/>
        <v>0.29205607476635514</v>
      </c>
      <c r="F12" s="35">
        <v>1000</v>
      </c>
      <c r="G12" s="35">
        <f t="shared" si="0"/>
        <v>783.0865288154879</v>
      </c>
      <c r="H12" s="75">
        <v>4295</v>
      </c>
      <c r="I12" s="74">
        <f t="shared" si="5"/>
        <v>0.23282887077997672</v>
      </c>
      <c r="J12" s="39">
        <v>200.36099999999999</v>
      </c>
      <c r="K12" s="33">
        <f t="shared" si="7"/>
        <v>2.0036100000000001</v>
      </c>
      <c r="L12" s="31">
        <f t="shared" si="6"/>
        <v>249.54956303871509</v>
      </c>
      <c r="M12" s="32">
        <f t="shared" si="2"/>
        <v>499.09912607743018</v>
      </c>
    </row>
    <row r="13" spans="1:13" x14ac:dyDescent="0.25">
      <c r="A13" s="36" t="s">
        <v>164</v>
      </c>
      <c r="B13" s="35">
        <v>500</v>
      </c>
      <c r="C13" s="35">
        <f t="shared" si="3"/>
        <v>375.93264360435302</v>
      </c>
      <c r="D13" s="35">
        <v>1721</v>
      </c>
      <c r="E13" s="74">
        <f t="shared" si="4"/>
        <v>0.29052876234747238</v>
      </c>
      <c r="F13" s="35">
        <v>1000</v>
      </c>
      <c r="G13" s="35">
        <f t="shared" si="0"/>
        <v>751.86528720870604</v>
      </c>
      <c r="H13" s="75">
        <v>4563</v>
      </c>
      <c r="I13" s="74">
        <f t="shared" si="5"/>
        <v>0.21915406530791146</v>
      </c>
      <c r="J13" s="39">
        <v>208.68100000000001</v>
      </c>
      <c r="K13" s="33">
        <f t="shared" si="7"/>
        <v>2.0868100000000003</v>
      </c>
      <c r="L13" s="31">
        <f t="shared" si="6"/>
        <v>239.60015526090058</v>
      </c>
      <c r="M13" s="32">
        <f t="shared" si="2"/>
        <v>479.20031052180116</v>
      </c>
    </row>
    <row r="14" spans="1:13" x14ac:dyDescent="0.25">
      <c r="A14" s="36" t="s">
        <v>165</v>
      </c>
      <c r="B14" s="35">
        <v>500</v>
      </c>
      <c r="C14" s="35">
        <f t="shared" si="3"/>
        <v>377.44473044817045</v>
      </c>
      <c r="D14" s="35">
        <v>1766</v>
      </c>
      <c r="E14" s="74">
        <f t="shared" si="4"/>
        <v>0.28312570781426954</v>
      </c>
      <c r="F14" s="35">
        <v>1000</v>
      </c>
      <c r="G14" s="35">
        <f t="shared" si="0"/>
        <v>754.88946089634089</v>
      </c>
      <c r="H14" s="75">
        <v>4742</v>
      </c>
      <c r="I14" s="74">
        <f t="shared" si="5"/>
        <v>0.21088148460565162</v>
      </c>
      <c r="J14" s="39">
        <v>207.845</v>
      </c>
      <c r="K14" s="33">
        <f t="shared" si="7"/>
        <v>2.0784500000000001</v>
      </c>
      <c r="L14" s="31">
        <f t="shared" si="6"/>
        <v>240.56388173879571</v>
      </c>
      <c r="M14" s="32">
        <f t="shared" si="2"/>
        <v>481.12776347759143</v>
      </c>
    </row>
    <row r="15" spans="1:13" x14ac:dyDescent="0.25">
      <c r="A15" s="36" t="s">
        <v>166</v>
      </c>
      <c r="B15" s="35">
        <v>500</v>
      </c>
      <c r="C15" s="35">
        <f t="shared" si="3"/>
        <v>371.20631405615654</v>
      </c>
      <c r="D15" s="35">
        <v>1835</v>
      </c>
      <c r="E15" s="74">
        <f t="shared" si="4"/>
        <v>0.27247956403269757</v>
      </c>
      <c r="F15" s="35">
        <v>1000</v>
      </c>
      <c r="G15" s="35">
        <f t="shared" si="0"/>
        <v>742.41262811231309</v>
      </c>
      <c r="H15" s="75">
        <v>4742</v>
      </c>
      <c r="I15" s="74">
        <f t="shared" si="5"/>
        <v>0.21088148460565162</v>
      </c>
      <c r="J15" s="39">
        <v>211.33799999999999</v>
      </c>
      <c r="K15" s="33">
        <f t="shared" si="7"/>
        <v>2.1133799999999998</v>
      </c>
      <c r="L15" s="31">
        <f t="shared" si="6"/>
        <v>236.58783559984482</v>
      </c>
      <c r="M15" s="32">
        <f t="shared" si="2"/>
        <v>473.17567119968965</v>
      </c>
    </row>
    <row r="16" spans="1:13" x14ac:dyDescent="0.25">
      <c r="A16" s="36" t="s">
        <v>167</v>
      </c>
      <c r="B16" s="35">
        <v>500</v>
      </c>
      <c r="C16" s="35">
        <f t="shared" si="3"/>
        <v>358.84510881995078</v>
      </c>
      <c r="D16" s="35">
        <v>2114</v>
      </c>
      <c r="E16" s="74">
        <f t="shared" si="4"/>
        <v>0.23651844843897823</v>
      </c>
      <c r="F16" s="35">
        <v>1000</v>
      </c>
      <c r="G16" s="35">
        <f t="shared" si="0"/>
        <v>717.69021763990156</v>
      </c>
      <c r="H16" s="75">
        <v>5067</v>
      </c>
      <c r="I16" s="74">
        <f t="shared" si="5"/>
        <v>0.19735543714229328</v>
      </c>
      <c r="J16" s="39">
        <v>218.61799999999999</v>
      </c>
      <c r="K16" s="33">
        <f t="shared" si="7"/>
        <v>2.1861799999999998</v>
      </c>
      <c r="L16" s="31">
        <f t="shared" si="6"/>
        <v>228.70943838110313</v>
      </c>
      <c r="M16" s="32">
        <f t="shared" si="2"/>
        <v>457.41887676220625</v>
      </c>
    </row>
    <row r="17" spans="1:13" x14ac:dyDescent="0.25">
      <c r="A17" s="36" t="s">
        <v>168</v>
      </c>
      <c r="B17" s="35">
        <v>500</v>
      </c>
      <c r="C17" s="35">
        <f t="shared" si="3"/>
        <v>351.41236864030964</v>
      </c>
      <c r="D17" s="35">
        <v>2174</v>
      </c>
      <c r="E17" s="74">
        <f t="shared" si="4"/>
        <v>0.22999080036798528</v>
      </c>
      <c r="F17" s="35">
        <v>1000</v>
      </c>
      <c r="G17" s="35">
        <f t="shared" si="0"/>
        <v>702.82473728061927</v>
      </c>
      <c r="H17" s="75">
        <v>5418</v>
      </c>
      <c r="I17" s="74">
        <f t="shared" si="5"/>
        <v>0.18456995201181248</v>
      </c>
      <c r="J17" s="39">
        <v>223.24199999999999</v>
      </c>
      <c r="K17" s="33">
        <f t="shared" si="7"/>
        <v>2.2324199999999998</v>
      </c>
      <c r="L17" s="31">
        <f t="shared" si="6"/>
        <v>223.97219161268939</v>
      </c>
      <c r="M17" s="32">
        <f t="shared" si="2"/>
        <v>447.94438322537877</v>
      </c>
    </row>
    <row r="18" spans="1:13" x14ac:dyDescent="0.25">
      <c r="A18" s="36" t="s">
        <v>169</v>
      </c>
      <c r="B18" s="35">
        <v>500</v>
      </c>
      <c r="C18" s="35">
        <f t="shared" si="3"/>
        <v>346.01999814750292</v>
      </c>
      <c r="D18" s="35">
        <v>2241</v>
      </c>
      <c r="E18" s="74">
        <f t="shared" si="4"/>
        <v>0.22311468094600626</v>
      </c>
      <c r="F18" s="35">
        <v>1000</v>
      </c>
      <c r="G18" s="35">
        <f t="shared" si="0"/>
        <v>692.03999629500584</v>
      </c>
      <c r="H18" s="75">
        <v>5906</v>
      </c>
      <c r="I18" s="74">
        <f t="shared" si="5"/>
        <v>0.16931933626820184</v>
      </c>
      <c r="J18" s="39">
        <v>226.721</v>
      </c>
      <c r="K18" s="33">
        <f t="shared" si="7"/>
        <v>2.2672099999999999</v>
      </c>
      <c r="L18" s="31">
        <f t="shared" si="6"/>
        <v>220.53537166826189</v>
      </c>
      <c r="M18" s="32">
        <f t="shared" si="2"/>
        <v>441.07074333652378</v>
      </c>
    </row>
    <row r="19" spans="1:13" x14ac:dyDescent="0.25">
      <c r="A19" s="36" t="s">
        <v>170</v>
      </c>
      <c r="B19" s="35">
        <v>500</v>
      </c>
      <c r="C19" s="35">
        <f t="shared" si="3"/>
        <v>340.27030778305976</v>
      </c>
      <c r="D19" s="35">
        <v>2377</v>
      </c>
      <c r="E19" s="74">
        <f t="shared" si="4"/>
        <v>0.21034917963819941</v>
      </c>
      <c r="F19" s="35">
        <v>1000</v>
      </c>
      <c r="G19" s="35">
        <f t="shared" si="0"/>
        <v>680.54061556611953</v>
      </c>
      <c r="H19" s="75">
        <v>6263</v>
      </c>
      <c r="I19" s="74">
        <f t="shared" si="5"/>
        <v>0.1596678907871627</v>
      </c>
      <c r="J19" s="39">
        <v>230.55199999999999</v>
      </c>
      <c r="K19" s="33">
        <f t="shared" si="7"/>
        <v>2.30552</v>
      </c>
      <c r="L19" s="31">
        <f t="shared" si="6"/>
        <v>216.87081439328222</v>
      </c>
      <c r="M19" s="32">
        <f t="shared" si="2"/>
        <v>433.74162878656443</v>
      </c>
    </row>
    <row r="20" spans="1:13" x14ac:dyDescent="0.25">
      <c r="A20" s="36" t="s">
        <v>171</v>
      </c>
      <c r="B20" s="35">
        <v>500</v>
      </c>
      <c r="C20" s="35">
        <f t="shared" si="3"/>
        <v>340.86909670775628</v>
      </c>
      <c r="D20" s="35">
        <v>2476</v>
      </c>
      <c r="E20" s="74">
        <f t="shared" si="4"/>
        <v>0.20193861066235863</v>
      </c>
      <c r="F20" s="35">
        <v>1000</v>
      </c>
      <c r="G20" s="35">
        <f t="shared" si="0"/>
        <v>681.73819341551257</v>
      </c>
      <c r="H20" s="75">
        <v>6411</v>
      </c>
      <c r="I20" s="74">
        <f t="shared" si="5"/>
        <v>0.15598190609889254</v>
      </c>
      <c r="J20" s="39">
        <v>230.14699999999999</v>
      </c>
      <c r="K20" s="33">
        <f t="shared" si="7"/>
        <v>2.3014700000000001</v>
      </c>
      <c r="L20" s="31">
        <f t="shared" si="6"/>
        <v>217.25245169391735</v>
      </c>
      <c r="M20" s="32">
        <f t="shared" si="2"/>
        <v>434.5049033878347</v>
      </c>
    </row>
    <row r="21" spans="1:13" x14ac:dyDescent="0.25">
      <c r="A21" s="36" t="s">
        <v>172</v>
      </c>
      <c r="B21" s="35">
        <v>500</v>
      </c>
      <c r="C21" s="35">
        <f t="shared" si="3"/>
        <v>337.14094167397246</v>
      </c>
      <c r="D21" s="35">
        <v>2577</v>
      </c>
      <c r="E21" s="74">
        <f t="shared" si="4"/>
        <v>0.19402405898331393</v>
      </c>
      <c r="F21" s="35">
        <v>1000</v>
      </c>
      <c r="G21" s="35">
        <f t="shared" si="0"/>
        <v>674.28188334794493</v>
      </c>
      <c r="H21" s="75">
        <v>6603</v>
      </c>
      <c r="I21" s="74">
        <f t="shared" si="5"/>
        <v>0.15144631228229594</v>
      </c>
      <c r="J21" s="28">
        <v>232.69200000000001</v>
      </c>
      <c r="K21" s="33">
        <f t="shared" si="7"/>
        <v>2.3269199999999999</v>
      </c>
      <c r="L21" s="31">
        <f t="shared" si="6"/>
        <v>214.8763171918244</v>
      </c>
      <c r="M21" s="32">
        <f t="shared" si="2"/>
        <v>429.7526343836488</v>
      </c>
    </row>
    <row r="22" spans="1:13" x14ac:dyDescent="0.25">
      <c r="A22" s="36" t="s">
        <v>173</v>
      </c>
      <c r="B22" s="35">
        <v>500</v>
      </c>
      <c r="C22" s="35">
        <f t="shared" si="3"/>
        <v>330.37699615928847</v>
      </c>
      <c r="D22" s="35">
        <v>2748</v>
      </c>
      <c r="E22" s="74">
        <f t="shared" si="4"/>
        <v>0.18195050946142649</v>
      </c>
      <c r="F22" s="35">
        <v>1000</v>
      </c>
      <c r="G22" s="35">
        <f t="shared" si="0"/>
        <v>660.75399231857693</v>
      </c>
      <c r="H22" s="75">
        <v>6907</v>
      </c>
      <c r="I22" s="74">
        <f t="shared" si="5"/>
        <v>0.14478065730418416</v>
      </c>
      <c r="J22" s="33">
        <v>237.45599999999999</v>
      </c>
      <c r="K22" s="33">
        <f t="shared" si="7"/>
        <v>2.3745599999999998</v>
      </c>
      <c r="L22" s="31">
        <f t="shared" si="6"/>
        <v>210.56532578667208</v>
      </c>
      <c r="M22" s="32">
        <f t="shared" si="2"/>
        <v>421.13065157334415</v>
      </c>
    </row>
    <row r="23" spans="1:13" ht="15" customHeight="1" x14ac:dyDescent="0.25">
      <c r="A23" s="40" t="s">
        <v>174</v>
      </c>
      <c r="B23" s="35">
        <v>500</v>
      </c>
      <c r="C23" s="35">
        <f t="shared" si="3"/>
        <v>323.18929541025886</v>
      </c>
      <c r="D23" s="35">
        <v>3104</v>
      </c>
      <c r="E23" s="74">
        <f t="shared" si="4"/>
        <v>0.16108247422680413</v>
      </c>
      <c r="F23" s="35">
        <v>1000</v>
      </c>
      <c r="G23" s="35">
        <f t="shared" si="0"/>
        <v>646.37859082051773</v>
      </c>
      <c r="H23" s="76">
        <v>7408</v>
      </c>
      <c r="I23" s="74">
        <f t="shared" si="5"/>
        <v>0.13498920086393087</v>
      </c>
      <c r="J23" s="33">
        <v>242.73699999999999</v>
      </c>
      <c r="K23" s="33">
        <f t="shared" si="7"/>
        <v>2.4273699999999998</v>
      </c>
      <c r="L23" s="31">
        <f t="shared" si="6"/>
        <v>205.98425456358117</v>
      </c>
      <c r="M23" s="32">
        <f t="shared" si="2"/>
        <v>411.96850912716235</v>
      </c>
    </row>
    <row r="24" spans="1:13" ht="15" customHeight="1" x14ac:dyDescent="0.25">
      <c r="A24" s="40" t="s">
        <v>175</v>
      </c>
      <c r="B24" s="35">
        <v>500</v>
      </c>
      <c r="C24" s="35">
        <f t="shared" si="3"/>
        <v>318.55927557712215</v>
      </c>
      <c r="D24" s="35">
        <v>3182</v>
      </c>
      <c r="E24" s="74">
        <f t="shared" si="4"/>
        <v>0.15713387806411061</v>
      </c>
      <c r="F24" s="35">
        <v>1000</v>
      </c>
      <c r="G24" s="35">
        <f t="shared" si="0"/>
        <v>637.1185511542443</v>
      </c>
      <c r="H24" s="76">
        <v>7729</v>
      </c>
      <c r="I24" s="74">
        <f t="shared" si="5"/>
        <v>0.1293828438349075</v>
      </c>
      <c r="J24" s="33">
        <v>246.26499999999999</v>
      </c>
      <c r="K24" s="33">
        <f t="shared" si="7"/>
        <v>2.46265</v>
      </c>
      <c r="L24" s="31">
        <f t="shared" si="6"/>
        <v>203.03331776744562</v>
      </c>
      <c r="M24" s="32">
        <f t="shared" si="2"/>
        <v>406.06663553489125</v>
      </c>
    </row>
    <row r="25" spans="1:13" ht="15" customHeight="1" x14ac:dyDescent="0.25">
      <c r="A25" s="40" t="s">
        <v>183</v>
      </c>
      <c r="B25" s="35">
        <v>500</v>
      </c>
      <c r="C25" s="35">
        <f t="shared" si="3"/>
        <v>317.24143508783283</v>
      </c>
      <c r="D25" s="35">
        <v>3266</v>
      </c>
      <c r="E25" s="74">
        <f t="shared" si="4"/>
        <v>0.15309246785058175</v>
      </c>
      <c r="F25" s="35">
        <v>1000</v>
      </c>
      <c r="G25" s="35">
        <f t="shared" si="0"/>
        <v>634.48287017566565</v>
      </c>
      <c r="H25" s="76">
        <v>8044</v>
      </c>
      <c r="I25" s="74">
        <f t="shared" si="5"/>
        <v>0.12431626056688215</v>
      </c>
      <c r="J25" s="33">
        <v>247.28800000000001</v>
      </c>
      <c r="K25" s="33">
        <f t="shared" si="7"/>
        <v>2.47288</v>
      </c>
      <c r="L25" s="31">
        <f t="shared" si="6"/>
        <v>202.19339393743329</v>
      </c>
      <c r="M25" s="32">
        <f t="shared" si="2"/>
        <v>404.38678787486657</v>
      </c>
    </row>
    <row r="26" spans="1:13" x14ac:dyDescent="0.25">
      <c r="A26" s="33" t="s">
        <v>192</v>
      </c>
      <c r="B26" s="72">
        <v>500</v>
      </c>
      <c r="C26" s="35">
        <f t="shared" si="3"/>
        <v>317.24143508783283</v>
      </c>
      <c r="D26" s="72">
        <v>3368</v>
      </c>
      <c r="E26" s="74">
        <f t="shared" si="4"/>
        <v>0.14845605700712589</v>
      </c>
      <c r="F26" s="35">
        <v>1000</v>
      </c>
      <c r="G26" s="35">
        <f t="shared" si="0"/>
        <v>634.48287017566565</v>
      </c>
      <c r="H26" s="72">
        <v>8172</v>
      </c>
      <c r="I26" s="74">
        <f t="shared" si="5"/>
        <v>0.12236906510034264</v>
      </c>
      <c r="J26" s="33">
        <v>247.28800000000001</v>
      </c>
      <c r="K26" s="33">
        <f t="shared" si="7"/>
        <v>2.47288</v>
      </c>
      <c r="L26" s="31">
        <f t="shared" si="6"/>
        <v>202.19339393743329</v>
      </c>
      <c r="M26" s="32">
        <f t="shared" si="2"/>
        <v>404.38678787486657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CBE7A-9429-4FBB-AEFC-32D475F3B369}">
  <dimension ref="A1:T60"/>
  <sheetViews>
    <sheetView workbookViewId="0">
      <selection activeCell="M70" sqref="M70"/>
    </sheetView>
  </sheetViews>
  <sheetFormatPr defaultRowHeight="15" x14ac:dyDescent="0.25"/>
  <cols>
    <col min="1" max="1" width="30.7109375" style="142" customWidth="1"/>
    <col min="2" max="19" width="9.140625" style="142"/>
    <col min="20" max="20" width="12.28515625" style="142" customWidth="1"/>
    <col min="21" max="16384" width="9.140625" style="142"/>
  </cols>
  <sheetData>
    <row r="1" spans="1:20" ht="15.75" x14ac:dyDescent="0.25">
      <c r="A1" s="143" t="s">
        <v>196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</row>
    <row r="2" spans="1:20" x14ac:dyDescent="0.25">
      <c r="A2" s="145" t="s">
        <v>197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7"/>
    </row>
    <row r="3" spans="1:20" s="148" customFormat="1" ht="45" x14ac:dyDescent="0.25">
      <c r="A3" s="149"/>
      <c r="B3" s="150" t="s">
        <v>198</v>
      </c>
      <c r="C3" s="150" t="s">
        <v>199</v>
      </c>
      <c r="D3" s="150" t="s">
        <v>200</v>
      </c>
      <c r="E3" s="150" t="s">
        <v>201</v>
      </c>
      <c r="F3" s="150" t="s">
        <v>202</v>
      </c>
      <c r="G3" s="150" t="s">
        <v>203</v>
      </c>
      <c r="H3" s="150" t="s">
        <v>204</v>
      </c>
      <c r="I3" s="150" t="s">
        <v>205</v>
      </c>
      <c r="J3" s="150" t="s">
        <v>206</v>
      </c>
      <c r="K3" s="150" t="s">
        <v>207</v>
      </c>
      <c r="L3" s="150" t="s">
        <v>208</v>
      </c>
      <c r="M3" s="150" t="s">
        <v>209</v>
      </c>
      <c r="N3" s="150" t="s">
        <v>210</v>
      </c>
      <c r="O3" s="150" t="s">
        <v>211</v>
      </c>
      <c r="P3" s="150" t="s">
        <v>212</v>
      </c>
      <c r="Q3" s="150" t="s">
        <v>213</v>
      </c>
      <c r="R3" s="150" t="s">
        <v>214</v>
      </c>
      <c r="S3" s="150" t="s">
        <v>215</v>
      </c>
      <c r="T3" s="151"/>
    </row>
    <row r="4" spans="1:20" x14ac:dyDescent="0.25">
      <c r="A4" s="152"/>
      <c r="B4" s="153" t="s">
        <v>216</v>
      </c>
      <c r="C4" s="154">
        <f>0.5*C5</f>
        <v>350</v>
      </c>
      <c r="D4" s="154">
        <f>0.5*D5</f>
        <v>325</v>
      </c>
      <c r="E4" s="154">
        <f>0.5*E5</f>
        <v>300</v>
      </c>
      <c r="F4" s="154">
        <f>0.5*F5</f>
        <v>287.5</v>
      </c>
      <c r="G4" s="154">
        <f>0.5*G5</f>
        <v>275</v>
      </c>
      <c r="H4" s="154">
        <f>0.5*H5</f>
        <v>262.5</v>
      </c>
      <c r="I4" s="154">
        <f>0.5*I5</f>
        <v>250</v>
      </c>
      <c r="J4" s="154">
        <f>0.5*J5</f>
        <v>237.5</v>
      </c>
      <c r="K4" s="154">
        <f>0.5*K5</f>
        <v>225</v>
      </c>
      <c r="L4" s="154">
        <f>0.5*L5</f>
        <v>212.5</v>
      </c>
      <c r="M4" s="154">
        <f>0.5*M5</f>
        <v>200</v>
      </c>
      <c r="N4" s="154">
        <f>0.5*N5</f>
        <v>187.5</v>
      </c>
      <c r="O4" s="154">
        <f>0.5*O5</f>
        <v>175</v>
      </c>
      <c r="P4" s="154">
        <f>0.5*P5</f>
        <v>162.5</v>
      </c>
      <c r="Q4" s="154">
        <f>0.5*Q5</f>
        <v>150</v>
      </c>
      <c r="R4" s="154">
        <f>0.5*R5</f>
        <v>137.5</v>
      </c>
      <c r="S4" s="154">
        <f>0.5*S5</f>
        <v>125</v>
      </c>
      <c r="T4" s="155"/>
    </row>
    <row r="5" spans="1:20" x14ac:dyDescent="0.25">
      <c r="A5" s="152"/>
      <c r="B5" s="153" t="s">
        <v>217</v>
      </c>
      <c r="C5" s="154">
        <v>700</v>
      </c>
      <c r="D5" s="154">
        <v>650</v>
      </c>
      <c r="E5" s="154">
        <v>600</v>
      </c>
      <c r="F5" s="154">
        <v>575</v>
      </c>
      <c r="G5" s="154">
        <v>550</v>
      </c>
      <c r="H5" s="154">
        <v>525</v>
      </c>
      <c r="I5" s="154">
        <v>500</v>
      </c>
      <c r="J5" s="154">
        <v>475</v>
      </c>
      <c r="K5" s="154">
        <v>450</v>
      </c>
      <c r="L5" s="154">
        <v>425</v>
      </c>
      <c r="M5" s="154">
        <v>400</v>
      </c>
      <c r="N5" s="154">
        <v>375</v>
      </c>
      <c r="O5" s="154">
        <v>350</v>
      </c>
      <c r="P5" s="154">
        <v>325</v>
      </c>
      <c r="Q5" s="154">
        <v>300</v>
      </c>
      <c r="R5" s="154">
        <v>275</v>
      </c>
      <c r="S5" s="154">
        <v>250</v>
      </c>
      <c r="T5" s="155"/>
    </row>
    <row r="6" spans="1:20" x14ac:dyDescent="0.25">
      <c r="A6" s="152"/>
      <c r="B6" s="153" t="s">
        <v>218</v>
      </c>
      <c r="C6" s="154">
        <v>700</v>
      </c>
      <c r="D6" s="154">
        <v>650</v>
      </c>
      <c r="E6" s="154">
        <v>600</v>
      </c>
      <c r="F6" s="154">
        <v>575</v>
      </c>
      <c r="G6" s="154">
        <v>550</v>
      </c>
      <c r="H6" s="154">
        <v>525</v>
      </c>
      <c r="I6" s="154">
        <v>500</v>
      </c>
      <c r="J6" s="154">
        <v>475</v>
      </c>
      <c r="K6" s="154">
        <v>450</v>
      </c>
      <c r="L6" s="154">
        <v>425</v>
      </c>
      <c r="M6" s="154">
        <v>400</v>
      </c>
      <c r="N6" s="154">
        <v>375</v>
      </c>
      <c r="O6" s="154">
        <v>350</v>
      </c>
      <c r="P6" s="154">
        <v>325</v>
      </c>
      <c r="Q6" s="154">
        <v>300</v>
      </c>
      <c r="R6" s="154">
        <v>275</v>
      </c>
      <c r="S6" s="154">
        <v>250</v>
      </c>
      <c r="T6" s="155"/>
    </row>
    <row r="7" spans="1:20" x14ac:dyDescent="0.25">
      <c r="A7" s="156"/>
      <c r="B7" s="157" t="s">
        <v>219</v>
      </c>
      <c r="C7" s="158">
        <f>C6*2</f>
        <v>1400</v>
      </c>
      <c r="D7" s="158">
        <f>D6*2</f>
        <v>1300</v>
      </c>
      <c r="E7" s="158">
        <f>E6*2</f>
        <v>1200</v>
      </c>
      <c r="F7" s="158">
        <f>F6*2</f>
        <v>1150</v>
      </c>
      <c r="G7" s="158">
        <f>G6*2</f>
        <v>1100</v>
      </c>
      <c r="H7" s="158">
        <f>H6*2</f>
        <v>1050</v>
      </c>
      <c r="I7" s="158">
        <f>I6*2</f>
        <v>1000</v>
      </c>
      <c r="J7" s="158">
        <f>J6*2</f>
        <v>950</v>
      </c>
      <c r="K7" s="158">
        <f>K6*2</f>
        <v>900</v>
      </c>
      <c r="L7" s="158">
        <f>L6*2</f>
        <v>850</v>
      </c>
      <c r="M7" s="158">
        <f>M6*2</f>
        <v>800</v>
      </c>
      <c r="N7" s="158">
        <f>N6*2</f>
        <v>750</v>
      </c>
      <c r="O7" s="158">
        <f>O6*2</f>
        <v>700</v>
      </c>
      <c r="P7" s="158">
        <f>P6*2</f>
        <v>650</v>
      </c>
      <c r="Q7" s="158">
        <f>Q6*2</f>
        <v>600</v>
      </c>
      <c r="R7" s="158">
        <f>R6*2</f>
        <v>550</v>
      </c>
      <c r="S7" s="158">
        <f>S6*2</f>
        <v>500</v>
      </c>
      <c r="T7" s="159"/>
    </row>
    <row r="8" spans="1:20" ht="75" x14ac:dyDescent="0.25">
      <c r="A8" s="160"/>
      <c r="B8" s="150" t="s">
        <v>220</v>
      </c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51" t="s">
        <v>221</v>
      </c>
    </row>
    <row r="9" spans="1:20" x14ac:dyDescent="0.25">
      <c r="A9" s="152" t="s">
        <v>222</v>
      </c>
      <c r="B9" s="162">
        <v>19604</v>
      </c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55"/>
    </row>
    <row r="10" spans="1:20" x14ac:dyDescent="0.25">
      <c r="A10" s="152" t="s">
        <v>223</v>
      </c>
      <c r="B10" s="162">
        <v>1707</v>
      </c>
      <c r="C10" s="162">
        <v>621</v>
      </c>
      <c r="D10" s="162">
        <v>84</v>
      </c>
      <c r="E10" s="162">
        <v>60</v>
      </c>
      <c r="F10" s="162">
        <v>39</v>
      </c>
      <c r="G10" s="162">
        <v>63</v>
      </c>
      <c r="H10" s="162">
        <v>42</v>
      </c>
      <c r="I10" s="162">
        <v>40</v>
      </c>
      <c r="J10" s="162">
        <v>34</v>
      </c>
      <c r="K10" s="162">
        <v>38</v>
      </c>
      <c r="L10" s="162">
        <v>33</v>
      </c>
      <c r="M10" s="162">
        <v>31</v>
      </c>
      <c r="N10" s="162">
        <v>23</v>
      </c>
      <c r="O10" s="162">
        <v>20</v>
      </c>
      <c r="P10" s="162">
        <v>50</v>
      </c>
      <c r="Q10" s="162">
        <v>34</v>
      </c>
      <c r="R10" s="162">
        <v>34</v>
      </c>
      <c r="S10" s="162">
        <v>461</v>
      </c>
      <c r="T10" s="155">
        <f>C10*C4+D10*D4+E10*E4+F10*F4+G10*G4+H10*H4+I10*I4+J10*J4+K10*K4+L10*L4+M10*M4+N10*N4+O10*O4+P10*P4+Q10*Q4+R10*R4+S10*S4</f>
        <v>425387.5</v>
      </c>
    </row>
    <row r="11" spans="1:20" x14ac:dyDescent="0.25">
      <c r="A11" s="152" t="s">
        <v>224</v>
      </c>
      <c r="B11" s="162">
        <v>17897</v>
      </c>
      <c r="C11" s="162">
        <v>4731</v>
      </c>
      <c r="D11" s="162">
        <v>907</v>
      </c>
      <c r="E11" s="162">
        <v>511</v>
      </c>
      <c r="F11" s="162">
        <v>517</v>
      </c>
      <c r="G11" s="162">
        <v>484</v>
      </c>
      <c r="H11" s="162">
        <v>459</v>
      </c>
      <c r="I11" s="162">
        <v>423</v>
      </c>
      <c r="J11" s="162">
        <v>336</v>
      </c>
      <c r="K11" s="162">
        <v>319</v>
      </c>
      <c r="L11" s="162">
        <v>274</v>
      </c>
      <c r="M11" s="162">
        <v>253</v>
      </c>
      <c r="N11" s="162">
        <v>236</v>
      </c>
      <c r="O11" s="162">
        <v>241</v>
      </c>
      <c r="P11" s="162">
        <v>429</v>
      </c>
      <c r="Q11" s="162">
        <v>430</v>
      </c>
      <c r="R11" s="162">
        <v>347</v>
      </c>
      <c r="S11" s="162">
        <v>7000</v>
      </c>
      <c r="T11" s="155">
        <f>C11*C5+D11*D5+E11*E5+F11*F5+G11*G5+H11*H5+I11*I5+J11*J5+K11*K5+L11*L5+M11*M5+N11*N5+O11*O5+P11*P5+Q11*Q5+R11*R5+S11*S5</f>
        <v>8031300</v>
      </c>
    </row>
    <row r="12" spans="1:20" x14ac:dyDescent="0.25">
      <c r="A12" s="152" t="s">
        <v>225</v>
      </c>
      <c r="B12" s="162">
        <v>13429</v>
      </c>
      <c r="C12" s="162">
        <v>2885</v>
      </c>
      <c r="D12" s="162">
        <v>665</v>
      </c>
      <c r="E12" s="162">
        <v>346</v>
      </c>
      <c r="F12" s="162">
        <v>356</v>
      </c>
      <c r="G12" s="162">
        <v>343</v>
      </c>
      <c r="H12" s="162">
        <v>341</v>
      </c>
      <c r="I12" s="162">
        <v>308</v>
      </c>
      <c r="J12" s="162">
        <v>247</v>
      </c>
      <c r="K12" s="162">
        <v>239</v>
      </c>
      <c r="L12" s="162">
        <v>200</v>
      </c>
      <c r="M12" s="162">
        <v>192</v>
      </c>
      <c r="N12" s="162">
        <v>183</v>
      </c>
      <c r="O12" s="162">
        <v>192</v>
      </c>
      <c r="P12" s="162">
        <v>312</v>
      </c>
      <c r="Q12" s="162">
        <v>335</v>
      </c>
      <c r="R12" s="162">
        <v>269</v>
      </c>
      <c r="S12" s="162">
        <v>6016</v>
      </c>
      <c r="T12" s="155">
        <f>C12*C6+D12*D6+E12*E6+F12*F6+G12*G6+H12*H6+I12*I6+J12*J6+K12*K6+L12*L6+M12*M6+N12*N6+O12*O6+P12*P6+Q12*Q6+R12*R6+S12*S6</f>
        <v>5688100</v>
      </c>
    </row>
    <row r="13" spans="1:20" x14ac:dyDescent="0.25">
      <c r="A13" s="152" t="s">
        <v>226</v>
      </c>
      <c r="B13" s="162">
        <v>17806</v>
      </c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55"/>
    </row>
    <row r="14" spans="1:20" x14ac:dyDescent="0.25">
      <c r="A14" s="152" t="s">
        <v>227</v>
      </c>
      <c r="B14" s="162">
        <v>1553</v>
      </c>
      <c r="C14" s="162">
        <v>545</v>
      </c>
      <c r="D14" s="162">
        <v>70</v>
      </c>
      <c r="E14" s="162">
        <v>36</v>
      </c>
      <c r="F14" s="162">
        <v>42</v>
      </c>
      <c r="G14" s="162">
        <v>51</v>
      </c>
      <c r="H14" s="162">
        <v>37</v>
      </c>
      <c r="I14" s="162">
        <v>33</v>
      </c>
      <c r="J14" s="162">
        <v>25</v>
      </c>
      <c r="K14" s="162">
        <v>27</v>
      </c>
      <c r="L14" s="162">
        <v>34</v>
      </c>
      <c r="M14" s="162">
        <v>27</v>
      </c>
      <c r="N14" s="162">
        <v>19</v>
      </c>
      <c r="O14" s="162">
        <v>25</v>
      </c>
      <c r="P14" s="162">
        <v>43</v>
      </c>
      <c r="Q14" s="162">
        <v>32</v>
      </c>
      <c r="R14" s="162">
        <v>27</v>
      </c>
      <c r="S14" s="162">
        <v>480</v>
      </c>
      <c r="T14" s="155">
        <f>C14*C4+D14*D4+E14*E4+F14*F4+G14*G4+H14*H4+I14*I4+J14*J4+K14*K4+L14*L4+M14*M4+N14*N4+O14*O4+P14*P4+Q14*Q4+R14*R4+S14*S4</f>
        <v>376437.5</v>
      </c>
    </row>
    <row r="15" spans="1:20" x14ac:dyDescent="0.25">
      <c r="A15" s="152" t="s">
        <v>228</v>
      </c>
      <c r="B15" s="162">
        <v>16253</v>
      </c>
      <c r="C15" s="162">
        <v>4149</v>
      </c>
      <c r="D15" s="162">
        <v>845</v>
      </c>
      <c r="E15" s="162">
        <v>466</v>
      </c>
      <c r="F15" s="162">
        <v>462</v>
      </c>
      <c r="G15" s="162">
        <v>433</v>
      </c>
      <c r="H15" s="162">
        <v>421</v>
      </c>
      <c r="I15" s="162">
        <v>372</v>
      </c>
      <c r="J15" s="162">
        <v>310</v>
      </c>
      <c r="K15" s="162">
        <v>293</v>
      </c>
      <c r="L15" s="162">
        <v>249</v>
      </c>
      <c r="M15" s="162">
        <v>234</v>
      </c>
      <c r="N15" s="162">
        <v>210</v>
      </c>
      <c r="O15" s="162">
        <v>213</v>
      </c>
      <c r="P15" s="162">
        <v>388</v>
      </c>
      <c r="Q15" s="162">
        <v>393</v>
      </c>
      <c r="R15" s="162">
        <v>317</v>
      </c>
      <c r="S15" s="162">
        <v>6498</v>
      </c>
      <c r="T15" s="155">
        <f>C15*C5+D15*D5+E15*E5+F15*F5+G15*G5+H15*H5+I15*I5+J15*J5+K15*K5+L15*L5+M15*M5+N15*N5+O15*O5+P15*P5+Q15*Q5+R15*R5+S15*S5</f>
        <v>7231475</v>
      </c>
    </row>
    <row r="16" spans="1:20" x14ac:dyDescent="0.25">
      <c r="A16" s="152" t="s">
        <v>229</v>
      </c>
      <c r="B16" s="162">
        <v>12329</v>
      </c>
      <c r="C16" s="162">
        <v>2570</v>
      </c>
      <c r="D16" s="162">
        <v>631</v>
      </c>
      <c r="E16" s="162">
        <v>321</v>
      </c>
      <c r="F16" s="162">
        <v>315</v>
      </c>
      <c r="G16" s="162">
        <v>309</v>
      </c>
      <c r="H16" s="162">
        <v>313</v>
      </c>
      <c r="I16" s="162">
        <v>271</v>
      </c>
      <c r="J16" s="162">
        <v>230</v>
      </c>
      <c r="K16" s="162">
        <v>222</v>
      </c>
      <c r="L16" s="162">
        <v>185</v>
      </c>
      <c r="M16" s="162">
        <v>177</v>
      </c>
      <c r="N16" s="162">
        <v>169</v>
      </c>
      <c r="O16" s="162">
        <v>173</v>
      </c>
      <c r="P16" s="162">
        <v>286</v>
      </c>
      <c r="Q16" s="162">
        <v>307</v>
      </c>
      <c r="R16" s="162">
        <v>245</v>
      </c>
      <c r="S16" s="162">
        <v>5605</v>
      </c>
      <c r="T16" s="155">
        <f>C16*C6+D16*D6+E16*E6+F16*F6+G16*G6+H16*H6+I16*I6+J16*J6+K16*K6+L16*L6+M16*M6+N16*N6+O16*O6+P16*P6+Q16*Q6+R16*R6+S16*S6</f>
        <v>5188825</v>
      </c>
    </row>
    <row r="17" spans="1:20" ht="15.75" thickBot="1" x14ac:dyDescent="0.3">
      <c r="A17" s="152" t="s">
        <v>230</v>
      </c>
      <c r="B17" s="162">
        <v>11841</v>
      </c>
      <c r="C17" s="162">
        <v>2750</v>
      </c>
      <c r="D17" s="162">
        <v>608</v>
      </c>
      <c r="E17" s="162">
        <v>350</v>
      </c>
      <c r="F17" s="162">
        <v>341</v>
      </c>
      <c r="G17" s="162">
        <v>310</v>
      </c>
      <c r="H17" s="162">
        <v>298</v>
      </c>
      <c r="I17" s="162">
        <v>280</v>
      </c>
      <c r="J17" s="162">
        <v>228</v>
      </c>
      <c r="K17" s="162">
        <v>212</v>
      </c>
      <c r="L17" s="162">
        <v>178</v>
      </c>
      <c r="M17" s="162">
        <v>170</v>
      </c>
      <c r="N17" s="162">
        <v>152</v>
      </c>
      <c r="O17" s="162">
        <v>148</v>
      </c>
      <c r="P17" s="162">
        <v>287</v>
      </c>
      <c r="Q17" s="162">
        <v>297</v>
      </c>
      <c r="R17" s="162">
        <v>225</v>
      </c>
      <c r="S17" s="162">
        <v>5007</v>
      </c>
      <c r="T17" s="163">
        <f>C17*C7+D17*D7+E17*E7+F17*F7+G17*G7+H17*H7+I17*I7+J17*J7+K17*K7+L17*L7+M17*M7+N17*N7+O17*O7+P17*P7+Q17*Q7+R17*R7+S17*S7</f>
        <v>10290750</v>
      </c>
    </row>
    <row r="18" spans="1:20" ht="15.75" thickTop="1" x14ac:dyDescent="0.25">
      <c r="A18" s="156"/>
      <c r="B18" s="164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59">
        <f>SUM(T10:T17)</f>
        <v>37232275</v>
      </c>
    </row>
    <row r="19" spans="1:20" x14ac:dyDescent="0.25">
      <c r="A19" s="166" t="s">
        <v>231</v>
      </c>
      <c r="B19" s="167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9"/>
    </row>
    <row r="20" spans="1:20" s="170" customFormat="1" ht="45" x14ac:dyDescent="0.25">
      <c r="A20" s="171"/>
      <c r="B20" s="172"/>
      <c r="C20" s="172" t="s">
        <v>199</v>
      </c>
      <c r="D20" s="172" t="s">
        <v>200</v>
      </c>
      <c r="E20" s="172" t="s">
        <v>201</v>
      </c>
      <c r="F20" s="172" t="s">
        <v>202</v>
      </c>
      <c r="G20" s="172" t="s">
        <v>203</v>
      </c>
      <c r="H20" s="172" t="s">
        <v>204</v>
      </c>
      <c r="I20" s="172" t="s">
        <v>205</v>
      </c>
      <c r="J20" s="172" t="s">
        <v>206</v>
      </c>
      <c r="K20" s="172" t="s">
        <v>207</v>
      </c>
      <c r="L20" s="172" t="s">
        <v>208</v>
      </c>
      <c r="M20" s="172" t="s">
        <v>209</v>
      </c>
      <c r="N20" s="172" t="s">
        <v>210</v>
      </c>
      <c r="O20" s="172" t="s">
        <v>211</v>
      </c>
      <c r="P20" s="172" t="s">
        <v>212</v>
      </c>
      <c r="Q20" s="172" t="s">
        <v>213</v>
      </c>
      <c r="R20" s="172" t="s">
        <v>214</v>
      </c>
      <c r="S20" s="172" t="s">
        <v>215</v>
      </c>
      <c r="T20" s="173"/>
    </row>
    <row r="21" spans="1:20" x14ac:dyDescent="0.25">
      <c r="A21" s="152" t="s">
        <v>232</v>
      </c>
      <c r="B21" s="162"/>
      <c r="C21" s="174">
        <v>700</v>
      </c>
      <c r="D21" s="174">
        <v>650</v>
      </c>
      <c r="E21" s="174">
        <v>600</v>
      </c>
      <c r="F21" s="174">
        <v>575</v>
      </c>
      <c r="G21" s="174">
        <v>550</v>
      </c>
      <c r="H21" s="174">
        <v>525</v>
      </c>
      <c r="I21" s="174">
        <v>500</v>
      </c>
      <c r="J21" s="174">
        <v>475</v>
      </c>
      <c r="K21" s="174">
        <v>450</v>
      </c>
      <c r="L21" s="174">
        <v>425</v>
      </c>
      <c r="M21" s="174">
        <v>400</v>
      </c>
      <c r="N21" s="174">
        <v>375</v>
      </c>
      <c r="O21" s="174">
        <v>350</v>
      </c>
      <c r="P21" s="174">
        <v>325</v>
      </c>
      <c r="Q21" s="174">
        <v>300</v>
      </c>
      <c r="R21" s="174">
        <v>275</v>
      </c>
      <c r="S21" s="174">
        <v>250</v>
      </c>
      <c r="T21" s="175"/>
    </row>
    <row r="22" spans="1:20" x14ac:dyDescent="0.25">
      <c r="A22" s="152"/>
      <c r="B22" s="162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5"/>
    </row>
    <row r="23" spans="1:20" x14ac:dyDescent="0.25">
      <c r="A23" s="152" t="s">
        <v>233</v>
      </c>
      <c r="B23" s="162"/>
      <c r="C23" s="174">
        <v>1400</v>
      </c>
      <c r="D23" s="174">
        <v>1300</v>
      </c>
      <c r="E23" s="174">
        <v>1200</v>
      </c>
      <c r="F23" s="174">
        <v>1150</v>
      </c>
      <c r="G23" s="174">
        <v>1100</v>
      </c>
      <c r="H23" s="174">
        <v>1050</v>
      </c>
      <c r="I23" s="174">
        <v>1000</v>
      </c>
      <c r="J23" s="174">
        <v>950</v>
      </c>
      <c r="K23" s="174">
        <v>900</v>
      </c>
      <c r="L23" s="174">
        <v>850</v>
      </c>
      <c r="M23" s="174">
        <v>800</v>
      </c>
      <c r="N23" s="174">
        <v>750</v>
      </c>
      <c r="O23" s="174">
        <v>700</v>
      </c>
      <c r="P23" s="174">
        <v>650</v>
      </c>
      <c r="Q23" s="174">
        <v>600</v>
      </c>
      <c r="R23" s="174">
        <v>550</v>
      </c>
      <c r="S23" s="174">
        <v>500</v>
      </c>
      <c r="T23" s="175"/>
    </row>
    <row r="24" spans="1:20" x14ac:dyDescent="0.25">
      <c r="A24" s="152" t="s">
        <v>234</v>
      </c>
      <c r="B24" s="162"/>
      <c r="C24" s="174">
        <v>1400</v>
      </c>
      <c r="D24" s="174">
        <v>1300</v>
      </c>
      <c r="E24" s="174">
        <v>1200</v>
      </c>
      <c r="F24" s="174">
        <v>1150</v>
      </c>
      <c r="G24" s="174">
        <v>1100</v>
      </c>
      <c r="H24" s="174">
        <v>1050</v>
      </c>
      <c r="I24" s="174">
        <v>1000</v>
      </c>
      <c r="J24" s="174">
        <v>950</v>
      </c>
      <c r="K24" s="174">
        <v>900</v>
      </c>
      <c r="L24" s="174">
        <v>850</v>
      </c>
      <c r="M24" s="174">
        <v>800</v>
      </c>
      <c r="N24" s="174">
        <v>750</v>
      </c>
      <c r="O24" s="174">
        <v>700</v>
      </c>
      <c r="P24" s="174">
        <v>650</v>
      </c>
      <c r="Q24" s="174">
        <v>600</v>
      </c>
      <c r="R24" s="174">
        <v>550</v>
      </c>
      <c r="S24" s="174">
        <v>500</v>
      </c>
      <c r="T24" s="175"/>
    </row>
    <row r="25" spans="1:20" ht="15.75" thickBot="1" x14ac:dyDescent="0.3">
      <c r="A25" s="176" t="s">
        <v>235</v>
      </c>
      <c r="B25" s="177"/>
      <c r="C25" s="178">
        <v>1400</v>
      </c>
      <c r="D25" s="178">
        <v>1300</v>
      </c>
      <c r="E25" s="178">
        <v>1200</v>
      </c>
      <c r="F25" s="178">
        <v>1150</v>
      </c>
      <c r="G25" s="178">
        <v>1100</v>
      </c>
      <c r="H25" s="178">
        <v>1050</v>
      </c>
      <c r="I25" s="178">
        <v>1000</v>
      </c>
      <c r="J25" s="178">
        <v>950</v>
      </c>
      <c r="K25" s="178">
        <v>900</v>
      </c>
      <c r="L25" s="178">
        <v>850</v>
      </c>
      <c r="M25" s="178">
        <v>800</v>
      </c>
      <c r="N25" s="178">
        <v>750</v>
      </c>
      <c r="O25" s="178">
        <v>700</v>
      </c>
      <c r="P25" s="178">
        <v>650</v>
      </c>
      <c r="Q25" s="178">
        <v>600</v>
      </c>
      <c r="R25" s="178">
        <v>550</v>
      </c>
      <c r="S25" s="178">
        <v>500</v>
      </c>
      <c r="T25" s="175"/>
    </row>
    <row r="26" spans="1:20" ht="15.75" thickTop="1" x14ac:dyDescent="0.25">
      <c r="A26" s="156" t="s">
        <v>236</v>
      </c>
      <c r="B26" s="165"/>
      <c r="C26" s="158">
        <v>4200</v>
      </c>
      <c r="D26" s="158">
        <v>3900</v>
      </c>
      <c r="E26" s="158">
        <v>3600</v>
      </c>
      <c r="F26" s="158">
        <v>3450</v>
      </c>
      <c r="G26" s="158">
        <v>3300</v>
      </c>
      <c r="H26" s="158">
        <v>3150</v>
      </c>
      <c r="I26" s="158">
        <v>3000</v>
      </c>
      <c r="J26" s="158">
        <v>2850</v>
      </c>
      <c r="K26" s="158">
        <v>2700</v>
      </c>
      <c r="L26" s="158">
        <v>2550</v>
      </c>
      <c r="M26" s="158">
        <v>2400</v>
      </c>
      <c r="N26" s="158">
        <v>2250</v>
      </c>
      <c r="O26" s="158">
        <v>2100</v>
      </c>
      <c r="P26" s="158">
        <v>1950</v>
      </c>
      <c r="Q26" s="158">
        <v>1800</v>
      </c>
      <c r="R26" s="158">
        <v>1650</v>
      </c>
      <c r="S26" s="158">
        <v>1500</v>
      </c>
      <c r="T26" s="179"/>
    </row>
    <row r="27" spans="1:20" x14ac:dyDescent="0.25"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</row>
    <row r="28" spans="1:20" ht="15.75" x14ac:dyDescent="0.25">
      <c r="A28" s="143" t="s">
        <v>237</v>
      </c>
      <c r="B28" s="180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80"/>
      <c r="S28" s="180"/>
      <c r="T28" s="144"/>
    </row>
    <row r="29" spans="1:20" x14ac:dyDescent="0.25">
      <c r="A29" s="145" t="s">
        <v>197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7"/>
    </row>
    <row r="30" spans="1:20" s="148" customFormat="1" ht="45" x14ac:dyDescent="0.25">
      <c r="A30" s="149"/>
      <c r="B30" s="150" t="s">
        <v>198</v>
      </c>
      <c r="C30" s="150" t="s">
        <v>199</v>
      </c>
      <c r="D30" s="150" t="s">
        <v>200</v>
      </c>
      <c r="E30" s="150" t="s">
        <v>201</v>
      </c>
      <c r="F30" s="150" t="s">
        <v>202</v>
      </c>
      <c r="G30" s="150" t="s">
        <v>203</v>
      </c>
      <c r="H30" s="150" t="s">
        <v>204</v>
      </c>
      <c r="I30" s="150" t="s">
        <v>205</v>
      </c>
      <c r="J30" s="150" t="s">
        <v>206</v>
      </c>
      <c r="K30" s="150" t="s">
        <v>207</v>
      </c>
      <c r="L30" s="150" t="s">
        <v>208</v>
      </c>
      <c r="M30" s="150" t="s">
        <v>209</v>
      </c>
      <c r="N30" s="150" t="s">
        <v>210</v>
      </c>
      <c r="O30" s="150" t="s">
        <v>211</v>
      </c>
      <c r="P30" s="150" t="s">
        <v>212</v>
      </c>
      <c r="Q30" s="150" t="s">
        <v>213</v>
      </c>
      <c r="R30" s="150" t="s">
        <v>214</v>
      </c>
      <c r="S30" s="150" t="s">
        <v>215</v>
      </c>
      <c r="T30" s="151"/>
    </row>
    <row r="31" spans="1:20" x14ac:dyDescent="0.25">
      <c r="A31" s="152"/>
      <c r="B31" s="153" t="s">
        <v>216</v>
      </c>
      <c r="C31" s="154">
        <f>0.25*C34</f>
        <v>175</v>
      </c>
      <c r="D31" s="154">
        <f>0.25*D34</f>
        <v>162.5</v>
      </c>
      <c r="E31" s="154">
        <f>0.25*E34</f>
        <v>150</v>
      </c>
      <c r="F31" s="154">
        <f>0.25*F34</f>
        <v>143.75</v>
      </c>
      <c r="G31" s="154">
        <f>0.25*G34</f>
        <v>137.5</v>
      </c>
      <c r="H31" s="154">
        <f>0.25*H34</f>
        <v>131.25</v>
      </c>
      <c r="I31" s="154">
        <f>0.25*I34</f>
        <v>125</v>
      </c>
      <c r="J31" s="154">
        <f>0.25*J34</f>
        <v>118.75</v>
      </c>
      <c r="K31" s="154">
        <f>0.25*K34</f>
        <v>112.5</v>
      </c>
      <c r="L31" s="154">
        <f>0.25*L34</f>
        <v>106.25</v>
      </c>
      <c r="M31" s="154">
        <f>0.25*M34</f>
        <v>100</v>
      </c>
      <c r="N31" s="154">
        <f>0.25*N34</f>
        <v>93.75</v>
      </c>
      <c r="O31" s="154">
        <f>0.25*O34</f>
        <v>87.5</v>
      </c>
      <c r="P31" s="154">
        <f>0.25*P34</f>
        <v>81.25</v>
      </c>
      <c r="Q31" s="154">
        <f>0.25*Q34</f>
        <v>75</v>
      </c>
      <c r="R31" s="154">
        <f>0.25*R34</f>
        <v>68.75</v>
      </c>
      <c r="S31" s="154">
        <f>0.25*S34</f>
        <v>62.5</v>
      </c>
      <c r="T31" s="155"/>
    </row>
    <row r="32" spans="1:20" x14ac:dyDescent="0.25">
      <c r="A32" s="152"/>
      <c r="B32" s="153" t="s">
        <v>217</v>
      </c>
      <c r="C32" s="154">
        <f>0.5*C34</f>
        <v>350</v>
      </c>
      <c r="D32" s="154">
        <f>0.5*D34</f>
        <v>325</v>
      </c>
      <c r="E32" s="154">
        <f>0.5*E34</f>
        <v>300</v>
      </c>
      <c r="F32" s="154">
        <f>0.5*F34</f>
        <v>287.5</v>
      </c>
      <c r="G32" s="154">
        <f>0.5*G34</f>
        <v>275</v>
      </c>
      <c r="H32" s="154">
        <f>0.5*H34</f>
        <v>262.5</v>
      </c>
      <c r="I32" s="154">
        <f>0.5*I34</f>
        <v>250</v>
      </c>
      <c r="J32" s="154">
        <f>0.5*J34</f>
        <v>237.5</v>
      </c>
      <c r="K32" s="154">
        <f>0.5*K34</f>
        <v>225</v>
      </c>
      <c r="L32" s="154">
        <f>0.5*L34</f>
        <v>212.5</v>
      </c>
      <c r="M32" s="154">
        <f>0.5*M34</f>
        <v>200</v>
      </c>
      <c r="N32" s="154">
        <f>0.5*N34</f>
        <v>187.5</v>
      </c>
      <c r="O32" s="154">
        <f>0.5*O34</f>
        <v>175</v>
      </c>
      <c r="P32" s="154">
        <f>0.5*P34</f>
        <v>162.5</v>
      </c>
      <c r="Q32" s="154">
        <f>0.5*Q34</f>
        <v>150</v>
      </c>
      <c r="R32" s="154">
        <f>0.5*R34</f>
        <v>137.5</v>
      </c>
      <c r="S32" s="154">
        <f>0.5*S34</f>
        <v>125</v>
      </c>
      <c r="T32" s="155"/>
    </row>
    <row r="33" spans="1:20" x14ac:dyDescent="0.25">
      <c r="A33" s="152"/>
      <c r="B33" s="153" t="s">
        <v>218</v>
      </c>
      <c r="C33" s="154">
        <f>0.5*C34</f>
        <v>350</v>
      </c>
      <c r="D33" s="154">
        <f>0.5*D34</f>
        <v>325</v>
      </c>
      <c r="E33" s="154">
        <f>0.5*E34</f>
        <v>300</v>
      </c>
      <c r="F33" s="154">
        <f>0.5*F34</f>
        <v>287.5</v>
      </c>
      <c r="G33" s="154">
        <f>0.5*G34</f>
        <v>275</v>
      </c>
      <c r="H33" s="154">
        <f>0.5*H34</f>
        <v>262.5</v>
      </c>
      <c r="I33" s="154">
        <f>0.5*I34</f>
        <v>250</v>
      </c>
      <c r="J33" s="154">
        <f>0.5*J34</f>
        <v>237.5</v>
      </c>
      <c r="K33" s="154">
        <f>0.5*K34</f>
        <v>225</v>
      </c>
      <c r="L33" s="154">
        <f>0.5*L34</f>
        <v>212.5</v>
      </c>
      <c r="M33" s="154">
        <f>0.5*M34</f>
        <v>200</v>
      </c>
      <c r="N33" s="154">
        <f>0.5*N34</f>
        <v>187.5</v>
      </c>
      <c r="O33" s="154">
        <f>0.5*O34</f>
        <v>175</v>
      </c>
      <c r="P33" s="154">
        <f>0.5*P34</f>
        <v>162.5</v>
      </c>
      <c r="Q33" s="154">
        <f>0.5*Q34</f>
        <v>150</v>
      </c>
      <c r="R33" s="154">
        <f>0.5*R34</f>
        <v>137.5</v>
      </c>
      <c r="S33" s="154">
        <f>0.5*S34</f>
        <v>125</v>
      </c>
      <c r="T33" s="155"/>
    </row>
    <row r="34" spans="1:20" x14ac:dyDescent="0.25">
      <c r="A34" s="156"/>
      <c r="B34" s="157" t="s">
        <v>219</v>
      </c>
      <c r="C34" s="158">
        <v>700</v>
      </c>
      <c r="D34" s="158">
        <v>650</v>
      </c>
      <c r="E34" s="158">
        <v>600</v>
      </c>
      <c r="F34" s="158">
        <v>575</v>
      </c>
      <c r="G34" s="158">
        <v>550</v>
      </c>
      <c r="H34" s="158">
        <v>525</v>
      </c>
      <c r="I34" s="158">
        <v>500</v>
      </c>
      <c r="J34" s="158">
        <v>475</v>
      </c>
      <c r="K34" s="158">
        <v>450</v>
      </c>
      <c r="L34" s="158">
        <v>425</v>
      </c>
      <c r="M34" s="158">
        <v>400</v>
      </c>
      <c r="N34" s="158">
        <v>375</v>
      </c>
      <c r="O34" s="158">
        <v>350</v>
      </c>
      <c r="P34" s="158">
        <v>325</v>
      </c>
      <c r="Q34" s="158">
        <v>300</v>
      </c>
      <c r="R34" s="158">
        <v>275</v>
      </c>
      <c r="S34" s="158">
        <v>250</v>
      </c>
      <c r="T34" s="159"/>
    </row>
    <row r="35" spans="1:20" ht="75" x14ac:dyDescent="0.25">
      <c r="A35" s="160"/>
      <c r="B35" s="150" t="s">
        <v>220</v>
      </c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51" t="s">
        <v>221</v>
      </c>
    </row>
    <row r="36" spans="1:20" x14ac:dyDescent="0.25">
      <c r="A36" s="152" t="s">
        <v>222</v>
      </c>
      <c r="B36" s="162">
        <v>13397</v>
      </c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55"/>
    </row>
    <row r="37" spans="1:20" x14ac:dyDescent="0.25">
      <c r="A37" s="152" t="s">
        <v>223</v>
      </c>
      <c r="B37" s="162">
        <v>1184</v>
      </c>
      <c r="C37" s="162">
        <v>510</v>
      </c>
      <c r="D37" s="162">
        <v>41</v>
      </c>
      <c r="E37" s="162">
        <v>40</v>
      </c>
      <c r="F37" s="162">
        <v>38</v>
      </c>
      <c r="G37" s="162">
        <v>40</v>
      </c>
      <c r="H37" s="162">
        <v>26</v>
      </c>
      <c r="I37" s="162">
        <v>44</v>
      </c>
      <c r="J37" s="162">
        <v>23</v>
      </c>
      <c r="K37" s="162">
        <v>31</v>
      </c>
      <c r="L37" s="162">
        <v>26</v>
      </c>
      <c r="M37" s="162">
        <v>17</v>
      </c>
      <c r="N37" s="162">
        <v>28</v>
      </c>
      <c r="O37" s="162">
        <v>19</v>
      </c>
      <c r="P37" s="162">
        <v>27</v>
      </c>
      <c r="Q37" s="162">
        <v>33</v>
      </c>
      <c r="R37" s="162">
        <v>24</v>
      </c>
      <c r="S37" s="162">
        <v>217</v>
      </c>
      <c r="T37" s="155">
        <f>C37*C31+D37*D31+E37*E31+F37*F31+G37*G31+H37*H31+I37*I31+J37*J31+K37*K31+L37*L31+M37*M31+N37*N31+O37*O31+P37*P31+Q37*Q31+R37*R31+S37*S31</f>
        <v>156637.5</v>
      </c>
    </row>
    <row r="38" spans="1:20" x14ac:dyDescent="0.25">
      <c r="A38" s="152" t="s">
        <v>224</v>
      </c>
      <c r="B38" s="162">
        <v>11794</v>
      </c>
      <c r="C38" s="162">
        <v>3810</v>
      </c>
      <c r="D38" s="162">
        <v>501</v>
      </c>
      <c r="E38" s="162">
        <v>388</v>
      </c>
      <c r="F38" s="162">
        <v>408</v>
      </c>
      <c r="G38" s="162">
        <v>380</v>
      </c>
      <c r="H38" s="162">
        <v>294</v>
      </c>
      <c r="I38" s="162">
        <v>286</v>
      </c>
      <c r="J38" s="162">
        <v>290</v>
      </c>
      <c r="K38" s="162">
        <v>241</v>
      </c>
      <c r="L38" s="162">
        <v>233</v>
      </c>
      <c r="M38" s="162">
        <v>183</v>
      </c>
      <c r="N38" s="162">
        <v>168</v>
      </c>
      <c r="O38" s="162">
        <v>176</v>
      </c>
      <c r="P38" s="162">
        <v>351</v>
      </c>
      <c r="Q38" s="162">
        <v>277</v>
      </c>
      <c r="R38" s="162">
        <v>261</v>
      </c>
      <c r="S38" s="162">
        <v>3547</v>
      </c>
      <c r="T38" s="155">
        <f>C38*C32+D38*D32+E38*E32+F38*F32+G38*G32+H38*H32+I38*I32+J38*J32+K38*K32+L38*L32+M38*M32+N38*N32+O38*O32+P38*P32+Q38*Q32+R38*R32+S38*S32</f>
        <v>2832562.5</v>
      </c>
    </row>
    <row r="39" spans="1:20" x14ac:dyDescent="0.25">
      <c r="A39" s="152" t="s">
        <v>225</v>
      </c>
      <c r="B39" s="162">
        <v>5996</v>
      </c>
      <c r="C39" s="162">
        <v>1425</v>
      </c>
      <c r="D39" s="162">
        <v>235</v>
      </c>
      <c r="E39" s="162">
        <v>169</v>
      </c>
      <c r="F39" s="162">
        <v>191</v>
      </c>
      <c r="G39" s="162">
        <v>164</v>
      </c>
      <c r="H39" s="162">
        <v>150</v>
      </c>
      <c r="I39" s="162">
        <v>140</v>
      </c>
      <c r="J39" s="162">
        <v>143</v>
      </c>
      <c r="K39" s="162">
        <v>111</v>
      </c>
      <c r="L39" s="162">
        <v>130</v>
      </c>
      <c r="M39" s="162">
        <v>101</v>
      </c>
      <c r="N39" s="162">
        <v>98</v>
      </c>
      <c r="O39" s="162">
        <v>105</v>
      </c>
      <c r="P39" s="162">
        <v>197</v>
      </c>
      <c r="Q39" s="162">
        <v>165</v>
      </c>
      <c r="R39" s="162">
        <v>147</v>
      </c>
      <c r="S39" s="162">
        <v>2326</v>
      </c>
      <c r="T39" s="155">
        <f>C39*C33+D39*D33+E39*E33+F39*F33+G39*G33+H39*H33+I39*I33+J39*J33+K39*K33+L39*L33+M39*M33+N39*N33+O39*O33+P39*P33+Q39*Q33+R39*R33+S39*S33</f>
        <v>1311450</v>
      </c>
    </row>
    <row r="40" spans="1:20" x14ac:dyDescent="0.25">
      <c r="A40" s="152" t="s">
        <v>226</v>
      </c>
      <c r="B40" s="162">
        <v>11867</v>
      </c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55"/>
    </row>
    <row r="41" spans="1:20" x14ac:dyDescent="0.25">
      <c r="A41" s="152" t="s">
        <v>227</v>
      </c>
      <c r="B41" s="162">
        <v>1183</v>
      </c>
      <c r="C41" s="162">
        <v>472</v>
      </c>
      <c r="D41" s="162">
        <v>46</v>
      </c>
      <c r="E41" s="162">
        <v>41</v>
      </c>
      <c r="F41" s="162">
        <v>29</v>
      </c>
      <c r="G41" s="162">
        <v>33</v>
      </c>
      <c r="H41" s="162">
        <v>24</v>
      </c>
      <c r="I41" s="162">
        <v>27</v>
      </c>
      <c r="J41" s="162">
        <v>33</v>
      </c>
      <c r="K41" s="162">
        <v>25</v>
      </c>
      <c r="L41" s="162">
        <v>17</v>
      </c>
      <c r="M41" s="162">
        <v>24</v>
      </c>
      <c r="N41" s="162">
        <v>28</v>
      </c>
      <c r="O41" s="162">
        <v>19</v>
      </c>
      <c r="P41" s="162">
        <v>34</v>
      </c>
      <c r="Q41" s="162">
        <v>33</v>
      </c>
      <c r="R41" s="162">
        <v>24</v>
      </c>
      <c r="S41" s="162">
        <v>276</v>
      </c>
      <c r="T41" s="155">
        <f>C41*C31+D41*D31+E41*E31+F41*F31+G41*G31+H41*H31+I41*I31+J41*J31+K41*K31+L41*L31+M41*M31+N41*N31+O41*O31+P41*P31+Q41*Q31+R41*R31+S41*S31</f>
        <v>150818.75</v>
      </c>
    </row>
    <row r="42" spans="1:20" x14ac:dyDescent="0.25">
      <c r="A42" s="152" t="s">
        <v>228</v>
      </c>
      <c r="B42" s="162">
        <v>10248</v>
      </c>
      <c r="C42" s="162">
        <v>3158</v>
      </c>
      <c r="D42" s="162">
        <v>446</v>
      </c>
      <c r="E42" s="162">
        <v>331</v>
      </c>
      <c r="F42" s="162">
        <v>338</v>
      </c>
      <c r="G42" s="162">
        <v>347</v>
      </c>
      <c r="H42" s="162">
        <v>265</v>
      </c>
      <c r="I42" s="162">
        <v>254</v>
      </c>
      <c r="J42" s="162">
        <v>251</v>
      </c>
      <c r="K42" s="162">
        <v>191</v>
      </c>
      <c r="L42" s="162">
        <v>203</v>
      </c>
      <c r="M42" s="162">
        <v>147</v>
      </c>
      <c r="N42" s="162">
        <v>157</v>
      </c>
      <c r="O42" s="162">
        <v>164</v>
      </c>
      <c r="P42" s="162">
        <v>305</v>
      </c>
      <c r="Q42" s="162">
        <v>240</v>
      </c>
      <c r="R42" s="162">
        <v>236</v>
      </c>
      <c r="S42" s="162">
        <v>3215</v>
      </c>
      <c r="T42" s="155">
        <f>C42*C32+D42*D32+E42*E32+F42*F32+G42*G32+H42*H32+I42*I32+J42*J32+K42*K32+L42*L32+M42*M32+N42*N32+O42*O32+P42*P32+Q42*Q32+R42*R32+S42*S32</f>
        <v>2428362.5</v>
      </c>
    </row>
    <row r="43" spans="1:20" x14ac:dyDescent="0.25">
      <c r="A43" s="152" t="s">
        <v>229</v>
      </c>
      <c r="B43" s="162">
        <v>5426</v>
      </c>
      <c r="C43" s="162">
        <v>1228</v>
      </c>
      <c r="D43" s="162">
        <v>220</v>
      </c>
      <c r="E43" s="162">
        <v>157</v>
      </c>
      <c r="F43" s="162">
        <v>164</v>
      </c>
      <c r="G43" s="162">
        <v>151</v>
      </c>
      <c r="H43" s="162">
        <v>139</v>
      </c>
      <c r="I43" s="162">
        <v>125</v>
      </c>
      <c r="J43" s="162">
        <v>121</v>
      </c>
      <c r="K43" s="162">
        <v>93</v>
      </c>
      <c r="L43" s="162">
        <v>116</v>
      </c>
      <c r="M43" s="162">
        <v>86</v>
      </c>
      <c r="N43" s="162">
        <v>92</v>
      </c>
      <c r="O43" s="162">
        <v>95</v>
      </c>
      <c r="P43" s="162">
        <v>184</v>
      </c>
      <c r="Q43" s="162">
        <v>151</v>
      </c>
      <c r="R43" s="162">
        <v>133</v>
      </c>
      <c r="S43" s="162">
        <v>2171</v>
      </c>
      <c r="T43" s="155">
        <f>C43*C33+D43*D33+E43*E33+F43*F33+G43*G33+H43*H33+I43*I33+J43*J33+K43*K33+L43*L33+M43*M33+N43*N33+O43*O33+P43*P33+Q43*Q33+R43*R33+S43*S33</f>
        <v>1172412.5</v>
      </c>
    </row>
    <row r="44" spans="1:20" x14ac:dyDescent="0.25">
      <c r="A44" s="152" t="s">
        <v>230</v>
      </c>
      <c r="B44" s="162">
        <v>7642</v>
      </c>
      <c r="C44" s="162">
        <v>2035</v>
      </c>
      <c r="D44" s="162">
        <v>323</v>
      </c>
      <c r="E44" s="162">
        <v>244</v>
      </c>
      <c r="F44" s="162">
        <v>255</v>
      </c>
      <c r="G44" s="162">
        <v>258</v>
      </c>
      <c r="H44" s="162">
        <v>189</v>
      </c>
      <c r="I44" s="162">
        <v>181</v>
      </c>
      <c r="J44" s="162">
        <v>199</v>
      </c>
      <c r="K44" s="162">
        <v>138</v>
      </c>
      <c r="L44" s="162">
        <v>159</v>
      </c>
      <c r="M44" s="162">
        <v>121</v>
      </c>
      <c r="N44" s="162">
        <v>117</v>
      </c>
      <c r="O44" s="162">
        <v>115</v>
      </c>
      <c r="P44" s="162">
        <v>251</v>
      </c>
      <c r="Q44" s="162">
        <v>201</v>
      </c>
      <c r="R44" s="162">
        <v>189</v>
      </c>
      <c r="S44" s="162">
        <v>2667</v>
      </c>
      <c r="T44" s="155">
        <f>C44*C34+D44*D34+E44*E34+F44*F34+G44*G34+H44*H34+I44*I34+J44*J34+K44*K34+L44*L34+M44*M34+N44*N34+O44*O34+P44*P34+Q44*Q34+R44*R34+S44*S34</f>
        <v>3476425</v>
      </c>
    </row>
    <row r="45" spans="1:20" x14ac:dyDescent="0.25">
      <c r="A45" s="156"/>
      <c r="B45" s="165"/>
      <c r="C45" s="165"/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59">
        <f>SUM(T37:T44)</f>
        <v>11528668.75</v>
      </c>
    </row>
    <row r="46" spans="1:20" x14ac:dyDescent="0.25">
      <c r="A46" s="166" t="s">
        <v>238</v>
      </c>
      <c r="B46" s="167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9"/>
    </row>
    <row r="47" spans="1:20" s="170" customFormat="1" ht="45" x14ac:dyDescent="0.25">
      <c r="A47" s="181"/>
      <c r="B47" s="172"/>
      <c r="C47" s="172" t="s">
        <v>199</v>
      </c>
      <c r="D47" s="172" t="s">
        <v>200</v>
      </c>
      <c r="E47" s="172" t="s">
        <v>201</v>
      </c>
      <c r="F47" s="172" t="s">
        <v>202</v>
      </c>
      <c r="G47" s="172" t="s">
        <v>203</v>
      </c>
      <c r="H47" s="172" t="s">
        <v>204</v>
      </c>
      <c r="I47" s="172" t="s">
        <v>205</v>
      </c>
      <c r="J47" s="172" t="s">
        <v>206</v>
      </c>
      <c r="K47" s="172" t="s">
        <v>207</v>
      </c>
      <c r="L47" s="172" t="s">
        <v>208</v>
      </c>
      <c r="M47" s="172" t="s">
        <v>209</v>
      </c>
      <c r="N47" s="172" t="s">
        <v>210</v>
      </c>
      <c r="O47" s="172" t="s">
        <v>211</v>
      </c>
      <c r="P47" s="172" t="s">
        <v>212</v>
      </c>
      <c r="Q47" s="172" t="s">
        <v>213</v>
      </c>
      <c r="R47" s="172" t="s">
        <v>214</v>
      </c>
      <c r="S47" s="172" t="s">
        <v>215</v>
      </c>
      <c r="T47" s="173"/>
    </row>
    <row r="48" spans="1:20" x14ac:dyDescent="0.25">
      <c r="A48" s="152" t="s">
        <v>232</v>
      </c>
      <c r="B48" s="162"/>
      <c r="C48" s="174">
        <f>2*C31</f>
        <v>350</v>
      </c>
      <c r="D48" s="174">
        <f>2*D31</f>
        <v>325</v>
      </c>
      <c r="E48" s="174">
        <f>2*E31</f>
        <v>300</v>
      </c>
      <c r="F48" s="174">
        <f>2*F31</f>
        <v>287.5</v>
      </c>
      <c r="G48" s="174">
        <f>2*G31</f>
        <v>275</v>
      </c>
      <c r="H48" s="174">
        <f>2*H31</f>
        <v>262.5</v>
      </c>
      <c r="I48" s="174">
        <f>2*I31</f>
        <v>250</v>
      </c>
      <c r="J48" s="174">
        <f>2*J31</f>
        <v>237.5</v>
      </c>
      <c r="K48" s="174">
        <f>2*K31</f>
        <v>225</v>
      </c>
      <c r="L48" s="174">
        <f>2*L31</f>
        <v>212.5</v>
      </c>
      <c r="M48" s="174">
        <f>2*M31</f>
        <v>200</v>
      </c>
      <c r="N48" s="174">
        <f>2*N31</f>
        <v>187.5</v>
      </c>
      <c r="O48" s="174">
        <f>2*O31</f>
        <v>175</v>
      </c>
      <c r="P48" s="174">
        <f>2*P31</f>
        <v>162.5</v>
      </c>
      <c r="Q48" s="174">
        <f>2*Q31</f>
        <v>150</v>
      </c>
      <c r="R48" s="174">
        <f>2*R31</f>
        <v>137.5</v>
      </c>
      <c r="S48" s="174">
        <f>2*S31</f>
        <v>125</v>
      </c>
      <c r="T48" s="175"/>
    </row>
    <row r="49" spans="1:20" x14ac:dyDescent="0.25">
      <c r="A49" s="152"/>
      <c r="B49" s="162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5"/>
    </row>
    <row r="50" spans="1:20" x14ac:dyDescent="0.25">
      <c r="A50" s="152" t="s">
        <v>233</v>
      </c>
      <c r="B50" s="162"/>
      <c r="C50" s="174">
        <f>2*C32</f>
        <v>700</v>
      </c>
      <c r="D50" s="174">
        <f>2*D32</f>
        <v>650</v>
      </c>
      <c r="E50" s="174">
        <f>2*E32</f>
        <v>600</v>
      </c>
      <c r="F50" s="174">
        <f>2*F32</f>
        <v>575</v>
      </c>
      <c r="G50" s="174">
        <f>2*G32</f>
        <v>550</v>
      </c>
      <c r="H50" s="174">
        <f>2*H32</f>
        <v>525</v>
      </c>
      <c r="I50" s="174">
        <f>2*I32</f>
        <v>500</v>
      </c>
      <c r="J50" s="174">
        <f>2*J32</f>
        <v>475</v>
      </c>
      <c r="K50" s="174">
        <f>2*K32</f>
        <v>450</v>
      </c>
      <c r="L50" s="174">
        <f>2*L32</f>
        <v>425</v>
      </c>
      <c r="M50" s="174">
        <f>2*M32</f>
        <v>400</v>
      </c>
      <c r="N50" s="174">
        <f>2*N32</f>
        <v>375</v>
      </c>
      <c r="O50" s="174">
        <f>2*O32</f>
        <v>350</v>
      </c>
      <c r="P50" s="174">
        <f>2*P32</f>
        <v>325</v>
      </c>
      <c r="Q50" s="174">
        <f>2*Q32</f>
        <v>300</v>
      </c>
      <c r="R50" s="174">
        <f>2*R32</f>
        <v>275</v>
      </c>
      <c r="S50" s="174">
        <f>2*S32</f>
        <v>250</v>
      </c>
      <c r="T50" s="175"/>
    </row>
    <row r="51" spans="1:20" x14ac:dyDescent="0.25">
      <c r="A51" s="152" t="s">
        <v>234</v>
      </c>
      <c r="B51" s="162"/>
      <c r="C51" s="174">
        <f>2*C33</f>
        <v>700</v>
      </c>
      <c r="D51" s="174">
        <f>2*D33</f>
        <v>650</v>
      </c>
      <c r="E51" s="174">
        <f>2*E33</f>
        <v>600</v>
      </c>
      <c r="F51" s="174">
        <f>2*F33</f>
        <v>575</v>
      </c>
      <c r="G51" s="174">
        <f>2*G33</f>
        <v>550</v>
      </c>
      <c r="H51" s="174">
        <f>2*H33</f>
        <v>525</v>
      </c>
      <c r="I51" s="174">
        <f>2*I33</f>
        <v>500</v>
      </c>
      <c r="J51" s="174">
        <f>2*J33</f>
        <v>475</v>
      </c>
      <c r="K51" s="174">
        <f>2*K33</f>
        <v>450</v>
      </c>
      <c r="L51" s="174">
        <f>2*L33</f>
        <v>425</v>
      </c>
      <c r="M51" s="174">
        <f>2*M33</f>
        <v>400</v>
      </c>
      <c r="N51" s="174">
        <f>2*N33</f>
        <v>375</v>
      </c>
      <c r="O51" s="174">
        <f>2*O33</f>
        <v>350</v>
      </c>
      <c r="P51" s="174">
        <f>2*P33</f>
        <v>325</v>
      </c>
      <c r="Q51" s="174">
        <f>2*Q33</f>
        <v>300</v>
      </c>
      <c r="R51" s="174">
        <f>2*R33</f>
        <v>275</v>
      </c>
      <c r="S51" s="174">
        <f>2*S33</f>
        <v>250</v>
      </c>
      <c r="T51" s="175"/>
    </row>
    <row r="52" spans="1:20" ht="15.75" thickBot="1" x14ac:dyDescent="0.3">
      <c r="A52" s="176" t="s">
        <v>235</v>
      </c>
      <c r="B52" s="177"/>
      <c r="C52" s="178">
        <f>C34</f>
        <v>700</v>
      </c>
      <c r="D52" s="178">
        <f>D34</f>
        <v>650</v>
      </c>
      <c r="E52" s="178">
        <f>E34</f>
        <v>600</v>
      </c>
      <c r="F52" s="178">
        <f>F34</f>
        <v>575</v>
      </c>
      <c r="G52" s="178">
        <f>G34</f>
        <v>550</v>
      </c>
      <c r="H52" s="178">
        <f>H34</f>
        <v>525</v>
      </c>
      <c r="I52" s="178">
        <f>I34</f>
        <v>500</v>
      </c>
      <c r="J52" s="178">
        <f>J34</f>
        <v>475</v>
      </c>
      <c r="K52" s="178">
        <f>K34</f>
        <v>450</v>
      </c>
      <c r="L52" s="178">
        <f>L34</f>
        <v>425</v>
      </c>
      <c r="M52" s="178">
        <f>M34</f>
        <v>400</v>
      </c>
      <c r="N52" s="178">
        <f>N34</f>
        <v>375</v>
      </c>
      <c r="O52" s="178">
        <f>O34</f>
        <v>350</v>
      </c>
      <c r="P52" s="178">
        <f>P34</f>
        <v>325</v>
      </c>
      <c r="Q52" s="178">
        <f>Q34</f>
        <v>300</v>
      </c>
      <c r="R52" s="178">
        <f>R34</f>
        <v>275</v>
      </c>
      <c r="S52" s="178">
        <f>S34</f>
        <v>250</v>
      </c>
      <c r="T52" s="182"/>
    </row>
    <row r="53" spans="1:20" ht="15.75" thickTop="1" x14ac:dyDescent="0.25">
      <c r="A53" s="156" t="s">
        <v>236</v>
      </c>
      <c r="B53" s="165"/>
      <c r="C53" s="158">
        <f>SUM(C50:C52)</f>
        <v>2100</v>
      </c>
      <c r="D53" s="158">
        <f>SUM(D50:D52)</f>
        <v>1950</v>
      </c>
      <c r="E53" s="158">
        <f>SUM(E50:E52)</f>
        <v>1800</v>
      </c>
      <c r="F53" s="158">
        <f>SUM(F50:F52)</f>
        <v>1725</v>
      </c>
      <c r="G53" s="158">
        <f>SUM(G50:G52)</f>
        <v>1650</v>
      </c>
      <c r="H53" s="158">
        <f>SUM(H50:H52)</f>
        <v>1575</v>
      </c>
      <c r="I53" s="158">
        <f>SUM(I50:I52)</f>
        <v>1500</v>
      </c>
      <c r="J53" s="158">
        <f>SUM(J50:J52)</f>
        <v>1425</v>
      </c>
      <c r="K53" s="158">
        <f>SUM(K50:K52)</f>
        <v>1350</v>
      </c>
      <c r="L53" s="158">
        <f>SUM(L50:L52)</f>
        <v>1275</v>
      </c>
      <c r="M53" s="158">
        <f>SUM(M50:M52)</f>
        <v>1200</v>
      </c>
      <c r="N53" s="158">
        <f>SUM(N50:N52)</f>
        <v>1125</v>
      </c>
      <c r="O53" s="158">
        <f>SUM(O50:O52)</f>
        <v>1050</v>
      </c>
      <c r="P53" s="158">
        <f>SUM(P50:P52)</f>
        <v>975</v>
      </c>
      <c r="Q53" s="158">
        <f>SUM(Q50:Q52)</f>
        <v>900</v>
      </c>
      <c r="R53" s="158">
        <f>SUM(R50:R52)</f>
        <v>825</v>
      </c>
      <c r="S53" s="158">
        <f>SUM(S50:S52)</f>
        <v>750</v>
      </c>
      <c r="T53" s="179"/>
    </row>
    <row r="54" spans="1:20" x14ac:dyDescent="0.25">
      <c r="T54" s="154"/>
    </row>
    <row r="55" spans="1:20" x14ac:dyDescent="0.25"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</row>
    <row r="56" spans="1:20" x14ac:dyDescent="0.25">
      <c r="A56" s="166" t="s">
        <v>197</v>
      </c>
      <c r="B56" s="183"/>
      <c r="C56" s="183"/>
      <c r="D56" s="184"/>
      <c r="E56" s="184"/>
      <c r="F56" s="161"/>
      <c r="G56" s="184" t="s">
        <v>239</v>
      </c>
      <c r="H56" s="184"/>
      <c r="I56" s="184"/>
      <c r="J56" s="184"/>
      <c r="K56" s="184"/>
      <c r="L56" s="161"/>
      <c r="M56" s="161"/>
      <c r="N56" s="161"/>
      <c r="O56" s="161"/>
      <c r="P56" s="161"/>
      <c r="Q56" s="161"/>
      <c r="R56" s="161"/>
      <c r="S56" s="161"/>
      <c r="T56" s="185"/>
    </row>
    <row r="57" spans="1:20" x14ac:dyDescent="0.25">
      <c r="A57" s="152"/>
      <c r="B57" s="186" t="s">
        <v>240</v>
      </c>
      <c r="C57" s="186"/>
      <c r="D57" s="187" t="s">
        <v>241</v>
      </c>
      <c r="E57" s="187"/>
      <c r="F57" s="154"/>
      <c r="G57" s="154"/>
      <c r="K57" s="187" t="s">
        <v>240</v>
      </c>
      <c r="L57" s="187"/>
      <c r="M57" s="187" t="s">
        <v>241</v>
      </c>
      <c r="N57" s="187"/>
      <c r="O57" s="154"/>
      <c r="P57" s="154"/>
      <c r="Q57" s="154"/>
      <c r="R57" s="154"/>
      <c r="S57" s="154"/>
      <c r="T57" s="175"/>
    </row>
    <row r="58" spans="1:20" x14ac:dyDescent="0.25">
      <c r="A58" s="152" t="s">
        <v>242</v>
      </c>
      <c r="B58" s="188">
        <f>B9</f>
        <v>19604</v>
      </c>
      <c r="C58" s="188"/>
      <c r="D58" s="187">
        <f>T18</f>
        <v>37232275</v>
      </c>
      <c r="E58" s="187"/>
      <c r="G58" s="142" t="s">
        <v>242</v>
      </c>
      <c r="K58" s="188">
        <v>16161</v>
      </c>
      <c r="L58" s="188"/>
      <c r="M58" s="187">
        <v>30530470</v>
      </c>
      <c r="N58" s="187"/>
      <c r="T58" s="175"/>
    </row>
    <row r="59" spans="1:20" ht="15.75" thickBot="1" x14ac:dyDescent="0.3">
      <c r="A59" s="176" t="s">
        <v>243</v>
      </c>
      <c r="B59" s="189">
        <f>B36</f>
        <v>13397</v>
      </c>
      <c r="C59" s="189"/>
      <c r="D59" s="190">
        <f>T45</f>
        <v>11528668.75</v>
      </c>
      <c r="E59" s="190"/>
      <c r="G59" s="191" t="s">
        <v>243</v>
      </c>
      <c r="H59" s="191"/>
      <c r="I59" s="191"/>
      <c r="J59" s="191"/>
      <c r="K59" s="189">
        <v>8322</v>
      </c>
      <c r="L59" s="189"/>
      <c r="M59" s="190">
        <v>5528496</v>
      </c>
      <c r="N59" s="190"/>
      <c r="T59" s="175"/>
    </row>
    <row r="60" spans="1:20" ht="15.75" thickTop="1" x14ac:dyDescent="0.25">
      <c r="A60" s="156"/>
      <c r="B60" s="192">
        <f>SUM(B58:B59)</f>
        <v>33001</v>
      </c>
      <c r="C60" s="192"/>
      <c r="D60" s="193">
        <f>SUM(D58:D59)</f>
        <v>48760943.75</v>
      </c>
      <c r="E60" s="193"/>
      <c r="F60" s="165"/>
      <c r="G60" s="165"/>
      <c r="H60" s="165"/>
      <c r="I60" s="165"/>
      <c r="J60" s="165"/>
      <c r="K60" s="192">
        <f>SUM(K58:K59)</f>
        <v>24483</v>
      </c>
      <c r="L60" s="192"/>
      <c r="M60" s="193">
        <f>SUM(M58:M59)</f>
        <v>36058966</v>
      </c>
      <c r="N60" s="193"/>
      <c r="O60" s="165"/>
      <c r="P60" s="165"/>
      <c r="Q60" s="165"/>
      <c r="R60" s="165"/>
      <c r="S60" s="165"/>
      <c r="T60" s="179"/>
    </row>
  </sheetData>
  <mergeCells count="16">
    <mergeCell ref="B57:C57"/>
    <mergeCell ref="D57:E57"/>
    <mergeCell ref="K57:L57"/>
    <mergeCell ref="M57:N57"/>
    <mergeCell ref="B58:C58"/>
    <mergeCell ref="D58:E58"/>
    <mergeCell ref="K58:L58"/>
    <mergeCell ref="M58:N58"/>
    <mergeCell ref="B59:C59"/>
    <mergeCell ref="D59:E59"/>
    <mergeCell ref="K59:L59"/>
    <mergeCell ref="M59:N59"/>
    <mergeCell ref="B60:C60"/>
    <mergeCell ref="D60:E60"/>
    <mergeCell ref="K60:L60"/>
    <mergeCell ref="M60:N6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1-Highlights</vt:lpstr>
      <vt:lpstr>2-All Aid</vt:lpstr>
      <vt:lpstr>3-Fiscal Support for HE</vt:lpstr>
      <vt:lpstr>4-Loan Debt</vt:lpstr>
      <vt:lpstr>5-Primary Need Grant</vt:lpstr>
      <vt:lpstr>6-MTAG Value</vt:lpstr>
      <vt:lpstr>7-Redesign Project 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Rogers</dc:creator>
  <cp:lastModifiedBy>Jennifer Rogers</cp:lastModifiedBy>
  <cp:lastPrinted>2020-11-17T18:22:58Z</cp:lastPrinted>
  <dcterms:created xsi:type="dcterms:W3CDTF">2020-11-04T18:57:09Z</dcterms:created>
  <dcterms:modified xsi:type="dcterms:W3CDTF">2020-11-19T21:44:38Z</dcterms:modified>
</cp:coreProperties>
</file>